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homira.pecinova\Disk Google\PECINOVA\maches\"/>
    </mc:Choice>
  </mc:AlternateContent>
  <bookViews>
    <workbookView xWindow="0" yWindow="0" windowWidth="16392" windowHeight="5652" activeTab="2"/>
  </bookViews>
  <sheets>
    <sheet name="Matematika " sheetId="1" r:id="rId1"/>
    <sheet name="Instrukce" sheetId="2" r:id="rId2"/>
    <sheet name="Prvky dle abecedy" sheetId="5" r:id="rId3"/>
  </sheets>
  <definedNames>
    <definedName name="NÁZEV">'Matematika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3" i="1" l="1"/>
  <c r="C182" i="1"/>
  <c r="C9" i="1"/>
  <c r="C45" i="1"/>
  <c r="C176" i="1"/>
  <c r="C74" i="1"/>
  <c r="C111" i="1"/>
  <c r="C152" i="1"/>
  <c r="C24" i="1"/>
  <c r="C185" i="1"/>
  <c r="C103" i="1"/>
  <c r="E126" i="1"/>
  <c r="C126" i="1"/>
  <c r="C130" i="1"/>
  <c r="C87" i="1"/>
  <c r="C157" i="1"/>
  <c r="C44" i="1" l="1"/>
  <c r="E150" i="1"/>
  <c r="C150" i="1"/>
  <c r="C146" i="1"/>
  <c r="C90" i="1"/>
  <c r="C89" i="1"/>
  <c r="C142" i="1"/>
  <c r="C189" i="1"/>
  <c r="E143" i="1"/>
  <c r="C143" i="1"/>
  <c r="I33" i="1"/>
  <c r="E33" i="1"/>
  <c r="G33" i="1"/>
  <c r="C33" i="1"/>
  <c r="E135" i="1"/>
  <c r="C135" i="1"/>
  <c r="E134" i="1"/>
  <c r="C134" i="1"/>
  <c r="E133" i="1"/>
  <c r="E132" i="1"/>
  <c r="C133" i="1"/>
  <c r="C132" i="1"/>
  <c r="C131" i="1"/>
  <c r="C144" i="1"/>
  <c r="C197" i="1"/>
  <c r="E26" i="1"/>
  <c r="C26" i="1"/>
  <c r="C122" i="1"/>
  <c r="E120" i="1"/>
  <c r="C120" i="1"/>
  <c r="C156" i="1"/>
  <c r="E32" i="1"/>
  <c r="C32" i="1"/>
  <c r="E97" i="1"/>
  <c r="C97" i="1"/>
  <c r="G98" i="1"/>
  <c r="E98" i="1"/>
  <c r="C98" i="1"/>
  <c r="C46" i="1"/>
  <c r="C75" i="1"/>
  <c r="I116" i="1" l="1"/>
  <c r="G116" i="1"/>
  <c r="E116" i="1"/>
  <c r="C116" i="1"/>
  <c r="E115" i="1"/>
  <c r="C115" i="1"/>
  <c r="C196" i="1"/>
  <c r="C195" i="1"/>
  <c r="C194" i="1"/>
  <c r="C193" i="1"/>
  <c r="C188" i="1"/>
  <c r="C190" i="1"/>
  <c r="C187" i="1"/>
  <c r="C114" i="1"/>
  <c r="C110" i="1"/>
  <c r="C108" i="1"/>
  <c r="C105" i="1"/>
  <c r="E117" i="1"/>
  <c r="C117" i="1"/>
  <c r="C95" i="1"/>
  <c r="C91" i="1"/>
  <c r="C99" i="1"/>
  <c r="C88" i="1"/>
  <c r="C86" i="1"/>
  <c r="E13" i="1"/>
  <c r="C13" i="1"/>
  <c r="C14" i="1"/>
  <c r="C76" i="1"/>
  <c r="C8" i="1"/>
  <c r="E68" i="1"/>
  <c r="C68" i="1"/>
  <c r="C80" i="1"/>
  <c r="E154" i="1"/>
  <c r="C154" i="1"/>
  <c r="C153" i="1"/>
  <c r="E77" i="1"/>
  <c r="E79" i="1"/>
  <c r="C79" i="1"/>
  <c r="C77" i="1"/>
  <c r="C71" i="1"/>
  <c r="C168" i="1"/>
  <c r="E23" i="1"/>
  <c r="C23" i="1"/>
  <c r="E141" i="1"/>
  <c r="C141" i="1"/>
  <c r="C177" i="1"/>
  <c r="E178" i="1"/>
  <c r="C180" i="1"/>
  <c r="C178" i="1"/>
  <c r="C70" i="1"/>
  <c r="C69" i="1"/>
  <c r="E62" i="1"/>
  <c r="C62" i="1"/>
  <c r="C61" i="1"/>
  <c r="E66" i="1"/>
  <c r="C66" i="1"/>
  <c r="E65" i="1"/>
  <c r="C65" i="1"/>
  <c r="I60" i="1"/>
  <c r="G60" i="1"/>
  <c r="E60" i="1"/>
  <c r="C60" i="1"/>
  <c r="C48" i="1"/>
  <c r="E49" i="1"/>
  <c r="C49" i="1"/>
  <c r="C47" i="1"/>
  <c r="E42" i="1"/>
  <c r="C42" i="1"/>
  <c r="C171" i="1"/>
  <c r="C170" i="1"/>
  <c r="C38" i="1"/>
  <c r="C37" i="1"/>
  <c r="C31" i="1"/>
  <c r="C35" i="1"/>
  <c r="C34" i="1"/>
  <c r="C109" i="1"/>
  <c r="E63" i="1"/>
  <c r="C63" i="1"/>
  <c r="E39" i="1"/>
  <c r="C39" i="1"/>
  <c r="E100" i="1"/>
  <c r="C100" i="1"/>
  <c r="I100" i="1"/>
  <c r="I101" i="1"/>
  <c r="G101" i="1"/>
  <c r="E101" i="1"/>
  <c r="C67" i="1"/>
  <c r="C173" i="1"/>
  <c r="G140" i="1"/>
  <c r="I40" i="1"/>
  <c r="G40" i="1"/>
  <c r="E140" i="1"/>
  <c r="C140" i="1"/>
  <c r="E40" i="1"/>
  <c r="C40" i="1"/>
  <c r="C15" i="1"/>
  <c r="E145" i="1"/>
  <c r="C145" i="1"/>
  <c r="C123" i="1"/>
  <c r="C21" i="1"/>
  <c r="C20" i="1"/>
  <c r="C147" i="1"/>
  <c r="C148" i="1"/>
  <c r="E169" i="1"/>
  <c r="C169" i="1"/>
  <c r="E7" i="1"/>
  <c r="C7" i="1"/>
  <c r="C22" i="1"/>
  <c r="C25" i="1"/>
  <c r="E28" i="1"/>
  <c r="C28" i="1"/>
  <c r="C52" i="1"/>
  <c r="K51" i="1"/>
  <c r="I51" i="1"/>
  <c r="G51" i="1"/>
  <c r="E51" i="1"/>
  <c r="C51" i="1"/>
  <c r="Q17" i="1"/>
  <c r="O17" i="1"/>
  <c r="M17" i="1"/>
  <c r="K17" i="1"/>
  <c r="I17" i="1"/>
  <c r="G17" i="1"/>
  <c r="E17" i="1"/>
  <c r="C17" i="1"/>
  <c r="Q16" i="1"/>
  <c r="O16" i="1"/>
  <c r="M16" i="1"/>
  <c r="K16" i="1"/>
  <c r="I16" i="1"/>
  <c r="G16" i="1"/>
  <c r="E16" i="1"/>
  <c r="C16" i="1"/>
  <c r="K50" i="1"/>
  <c r="I50" i="1"/>
  <c r="G50" i="1"/>
  <c r="E50" i="1"/>
  <c r="C50" i="1"/>
  <c r="E96" i="1"/>
  <c r="C96" i="1"/>
  <c r="E166" i="1"/>
  <c r="C166" i="1"/>
  <c r="C165" i="1"/>
  <c r="E161" i="1"/>
  <c r="C161" i="1"/>
  <c r="E158" i="1"/>
  <c r="C158" i="1"/>
  <c r="E73" i="1"/>
  <c r="C73" i="1"/>
  <c r="E72" i="1"/>
  <c r="C72" i="1"/>
  <c r="E201" i="1"/>
  <c r="C201" i="1"/>
  <c r="E106" i="1"/>
  <c r="C106" i="1"/>
  <c r="E78" i="1"/>
  <c r="C78" i="1"/>
  <c r="I151" i="1"/>
  <c r="G151" i="1"/>
  <c r="E151" i="1"/>
  <c r="C151" i="1"/>
  <c r="C125" i="1"/>
  <c r="C124" i="1"/>
  <c r="C179" i="1"/>
  <c r="C181" i="1"/>
  <c r="E43" i="1"/>
  <c r="C43" i="1"/>
  <c r="E84" i="1"/>
  <c r="C84" i="1"/>
  <c r="E59" i="1"/>
  <c r="C59" i="1"/>
  <c r="E41" i="1"/>
  <c r="C12" i="1"/>
  <c r="C41" i="1"/>
  <c r="E12" i="1"/>
  <c r="E19" i="1"/>
  <c r="C19" i="1"/>
  <c r="C54" i="1"/>
  <c r="C175" i="1"/>
  <c r="C58" i="1"/>
  <c r="C57" i="1"/>
  <c r="E82" i="1"/>
  <c r="C82" i="1"/>
  <c r="E81" i="1"/>
  <c r="C81" i="1"/>
  <c r="E104" i="1"/>
  <c r="C104" i="1"/>
  <c r="C11" i="1"/>
  <c r="E36" i="1" l="1"/>
  <c r="C36" i="1"/>
  <c r="E198" i="1"/>
  <c r="C198" i="1"/>
  <c r="C200" i="1"/>
  <c r="C199" i="1"/>
  <c r="C30" i="1"/>
  <c r="C29" i="1"/>
  <c r="C136" i="1"/>
  <c r="C137" i="1"/>
  <c r="C113" i="1"/>
  <c r="E55" i="1"/>
  <c r="C55" i="1"/>
  <c r="C56" i="1"/>
  <c r="I107" i="1"/>
  <c r="G107" i="1"/>
  <c r="E107" i="1"/>
  <c r="C107" i="1"/>
  <c r="C27" i="1"/>
  <c r="C64" i="1"/>
  <c r="E112" i="1"/>
  <c r="C112" i="1"/>
  <c r="C83" i="1"/>
  <c r="E186" i="1"/>
  <c r="C186" i="1"/>
  <c r="C155" i="1"/>
  <c r="C192" i="1"/>
  <c r="C139" i="1"/>
  <c r="C149" i="1"/>
  <c r="C102" i="1"/>
  <c r="C129" i="1"/>
  <c r="C128" i="1"/>
  <c r="C127" i="1"/>
  <c r="E94" i="1"/>
  <c r="C94" i="1"/>
  <c r="C92" i="1"/>
  <c r="C93" i="1"/>
  <c r="E191" i="1"/>
  <c r="C191" i="1"/>
  <c r="E184" i="1"/>
  <c r="C184" i="1"/>
  <c r="C121" i="1"/>
  <c r="C53" i="1"/>
  <c r="E18" i="1"/>
  <c r="C18" i="1"/>
  <c r="C174" i="1"/>
  <c r="E10" i="1"/>
  <c r="C10" i="1"/>
  <c r="C172" i="1"/>
  <c r="C101" i="1"/>
  <c r="E163" i="1"/>
  <c r="C163" i="1"/>
  <c r="C164" i="1"/>
  <c r="C162" i="1"/>
  <c r="E119" i="1"/>
  <c r="C119" i="1"/>
  <c r="E118" i="1"/>
  <c r="C118" i="1"/>
  <c r="E85" i="1"/>
  <c r="C85" i="1"/>
  <c r="E167" i="1"/>
  <c r="C167" i="1"/>
  <c r="E160" i="1"/>
  <c r="C160" i="1"/>
  <c r="E159" i="1"/>
  <c r="C159" i="1"/>
</calcChain>
</file>

<file path=xl/sharedStrings.xml><?xml version="1.0" encoding="utf-8"?>
<sst xmlns="http://schemas.openxmlformats.org/spreadsheetml/2006/main" count="675" uniqueCount="657">
  <si>
    <t>Si:N:U:S</t>
  </si>
  <si>
    <t>S:I:N:U:S</t>
  </si>
  <si>
    <t>SINUS</t>
  </si>
  <si>
    <t>NÁZEV</t>
  </si>
  <si>
    <t>SOUČET</t>
  </si>
  <si>
    <t>ZÁPIS</t>
  </si>
  <si>
    <t xml:space="preserve">ZÁPIS </t>
  </si>
  <si>
    <t>SOUČET=SOUČET ATOMOVÝCH ČÍSEL PRVKŮ</t>
  </si>
  <si>
    <t>ZÁPIS =ZÁPIS POMOCÍ CHEMICKÝCH ZNAČEK PRVKŮ</t>
  </si>
  <si>
    <t>SINUSOIDY</t>
  </si>
  <si>
    <t>S:I:N:U:S:O:I:Dy</t>
  </si>
  <si>
    <t>Si:N:U:S:O:I:Dy</t>
  </si>
  <si>
    <t>SMĚR</t>
  </si>
  <si>
    <t>Sm:Er</t>
  </si>
  <si>
    <t>SMĚROVÝ</t>
  </si>
  <si>
    <t>Sm:Er:O:V:Y</t>
  </si>
  <si>
    <t>NESOUHLASNÝ</t>
  </si>
  <si>
    <t>SOUHLASNÝ</t>
  </si>
  <si>
    <t>S:O:U:H:La:S:N:Y</t>
  </si>
  <si>
    <t>S:O:U:H:La:Sn:Y</t>
  </si>
  <si>
    <t>Ne:S:O:U:H:La:S:N:Y</t>
  </si>
  <si>
    <t>Ne:S:O:U:H:La:Sn:Y</t>
  </si>
  <si>
    <t>POSUN</t>
  </si>
  <si>
    <t>POSUNUTÍ</t>
  </si>
  <si>
    <t>P:O:S:U:N</t>
  </si>
  <si>
    <t>P:O:S:U:N:U:Ti</t>
  </si>
  <si>
    <t>Po:S:U:N:U:Ti</t>
  </si>
  <si>
    <t>Po:S:U:N</t>
  </si>
  <si>
    <t>SMĚRNICE</t>
  </si>
  <si>
    <t>Sm:Er:Ni:Ce</t>
  </si>
  <si>
    <t>Sm:Er:N:I:Ce</t>
  </si>
  <si>
    <t>OPAČNÝ</t>
  </si>
  <si>
    <t>O:Pa:C:N:Y</t>
  </si>
  <si>
    <t>STĚNA</t>
  </si>
  <si>
    <t>S:Te:Na</t>
  </si>
  <si>
    <t>BOČNÍ</t>
  </si>
  <si>
    <t>B:O:C:N:I</t>
  </si>
  <si>
    <t>B:O:C:Ni</t>
  </si>
  <si>
    <t>TANGENS</t>
  </si>
  <si>
    <t>Ta:N:Ge:N:S</t>
  </si>
  <si>
    <t>COTANGENS</t>
  </si>
  <si>
    <t>C:O:Ta:N:Ge:N:S</t>
  </si>
  <si>
    <t>Co:Ta:N:Ge:N:S</t>
  </si>
  <si>
    <t>KOTANGENS</t>
  </si>
  <si>
    <t>K:O:Ta:N:Ge:N:S</t>
  </si>
  <si>
    <t>PRAVÝ</t>
  </si>
  <si>
    <t>P:Ra:V:Y</t>
  </si>
  <si>
    <t>UMOCNĚNÍ</t>
  </si>
  <si>
    <t>U:Mo:C:Ne:Ni</t>
  </si>
  <si>
    <t>U:Mo:C:Ne:N:I</t>
  </si>
  <si>
    <t>VARIAČNÍ</t>
  </si>
  <si>
    <t>V:Ar:I:Ac:N:I</t>
  </si>
  <si>
    <t>V:Ar:I:Ac:Ni</t>
  </si>
  <si>
    <t>OBRÁCENÍ</t>
  </si>
  <si>
    <t>OBRÁCENÁ</t>
  </si>
  <si>
    <t>O:B:Ra:Ce:Ni</t>
  </si>
  <si>
    <t>O:B:Ra:Ce:Na</t>
  </si>
  <si>
    <t>OBRÁCENO</t>
  </si>
  <si>
    <t>O:B:Ra:Ce:No</t>
  </si>
  <si>
    <t>O:B:Ra:Ce:N:O</t>
  </si>
  <si>
    <t>PŘÍČKY</t>
  </si>
  <si>
    <t>Pr:I:C:K:Y</t>
  </si>
  <si>
    <t>59+53+6+19+39</t>
  </si>
  <si>
    <t>PRŮSEČÍK</t>
  </si>
  <si>
    <t>Pr:U:Se:C:I:K</t>
  </si>
  <si>
    <t>PRŮSEČÍKY</t>
  </si>
  <si>
    <t>Pr:U:Se:C:I:K:Y</t>
  </si>
  <si>
    <t>PRŮSEK</t>
  </si>
  <si>
    <t>Pr:U:Se:K</t>
  </si>
  <si>
    <t>OSM (8)</t>
  </si>
  <si>
    <t>O:Sm</t>
  </si>
  <si>
    <t>ŘEŠENÍ</t>
  </si>
  <si>
    <t>Re:Se:Ni</t>
  </si>
  <si>
    <t>PYTHAGORAS</t>
  </si>
  <si>
    <t>P:Y:Th:Ag:O:Ra:S</t>
  </si>
  <si>
    <t>VÝKON</t>
  </si>
  <si>
    <t>V:Y:K:O:N</t>
  </si>
  <si>
    <t>SEKUNDY</t>
  </si>
  <si>
    <t>Se:K:U:N:Dy</t>
  </si>
  <si>
    <t>UNICITA</t>
  </si>
  <si>
    <t>U:Ni:C:I:Ta</t>
  </si>
  <si>
    <t>U:N:I:C:I:Ta</t>
  </si>
  <si>
    <t>NEPLATÍ</t>
  </si>
  <si>
    <t>Ne:P:La:Ti</t>
  </si>
  <si>
    <t>PIERRE SIMON LAPLACE</t>
  </si>
  <si>
    <t>P:I:Er:Re S:I:Mo:N La:P:La:Ce</t>
  </si>
  <si>
    <t>P:I:Er:Re Si:Mo:N La:P:La:Ce</t>
  </si>
  <si>
    <t>LAPLACE</t>
  </si>
  <si>
    <t>La:P:La:Ce</t>
  </si>
  <si>
    <t>GAUSS</t>
  </si>
  <si>
    <t>Ga:U:S:S</t>
  </si>
  <si>
    <t>Pa:S:Ca:Lu:V</t>
  </si>
  <si>
    <t>P:As:Ca:Lu:V</t>
  </si>
  <si>
    <t>Pa:S:C:Al:U:V</t>
  </si>
  <si>
    <t>P:As:C:Al:U:V</t>
  </si>
  <si>
    <t>KRÁT</t>
  </si>
  <si>
    <t>Kr:At</t>
  </si>
  <si>
    <t>KRÁCENÍ</t>
  </si>
  <si>
    <t>K:Ra:Ce:Ni</t>
  </si>
  <si>
    <t>K:Ra:Ce:N:I</t>
  </si>
  <si>
    <t>PLUS</t>
  </si>
  <si>
    <t>P:Lu:S</t>
  </si>
  <si>
    <t>PŘIBLIŽNÝ</t>
  </si>
  <si>
    <t>Pr:I:B:Li:Zn:Y</t>
  </si>
  <si>
    <t>PŘEVODY</t>
  </si>
  <si>
    <t>P:Re:V:O:Dy</t>
  </si>
  <si>
    <t>HERON</t>
  </si>
  <si>
    <t>H:Er:O:N</t>
  </si>
  <si>
    <t>HERONŮV</t>
  </si>
  <si>
    <t>H:Er:O:N:U:V</t>
  </si>
  <si>
    <t>VÝZNAM</t>
  </si>
  <si>
    <t>VÝZNAMY</t>
  </si>
  <si>
    <t>V:Y:Zn:Am</t>
  </si>
  <si>
    <t>V:Y:Zn:Am:Y</t>
  </si>
  <si>
    <t xml:space="preserve">VYVRÁCENÍ </t>
  </si>
  <si>
    <t>V:Y:V:Ra:Ce:N:I</t>
  </si>
  <si>
    <t>V:Y:V:Ra:Ce:Ni</t>
  </si>
  <si>
    <t>HYPOTESY</t>
  </si>
  <si>
    <t>H:Y:Po:Te:S:Y</t>
  </si>
  <si>
    <t>H:Y:P:O:Te:S:Y</t>
  </si>
  <si>
    <t>BODY</t>
  </si>
  <si>
    <t>B:O:Dy</t>
  </si>
  <si>
    <t>OSY</t>
  </si>
  <si>
    <t>Os:Y</t>
  </si>
  <si>
    <t>O:S:Y</t>
  </si>
  <si>
    <t>NEKONEČNO</t>
  </si>
  <si>
    <t>NEKONEČNÝ</t>
  </si>
  <si>
    <t>Ne:K:O:Ne:C:N:O</t>
  </si>
  <si>
    <t>Ne:K:O:Ne:C:No</t>
  </si>
  <si>
    <t>Ne:K:O:Ne:C:N:Y</t>
  </si>
  <si>
    <t>Ne:K:O:Ne:C:Ni</t>
  </si>
  <si>
    <t>KRUH</t>
  </si>
  <si>
    <t>K:Ru:H</t>
  </si>
  <si>
    <t>KRUHY</t>
  </si>
  <si>
    <t>K:Ru:H:Y</t>
  </si>
  <si>
    <t>TANGENTA</t>
  </si>
  <si>
    <t>Ta:N:Ge:N:Ta</t>
  </si>
  <si>
    <t>KOTANGENTA</t>
  </si>
  <si>
    <t>K:O:Ta:N:Ge:N:Ta</t>
  </si>
  <si>
    <t>COTANGENTA</t>
  </si>
  <si>
    <t>C:O:Ta:N:Ge:N:Ta</t>
  </si>
  <si>
    <t>Co:Ta:N:Ge:N:Ta</t>
  </si>
  <si>
    <t>CARTESIUS</t>
  </si>
  <si>
    <t>KARTESIUS</t>
  </si>
  <si>
    <t>C:Ar:Te:Si:U:S</t>
  </si>
  <si>
    <t>C:Ar:Te:S:I:U:S</t>
  </si>
  <si>
    <t>K:Ar:Te:Si:U:S</t>
  </si>
  <si>
    <t>K:Ar:Te:S:I:U:S</t>
  </si>
  <si>
    <t>KRUŽNICE</t>
  </si>
  <si>
    <t>K:Ru:Zn:I:Ce</t>
  </si>
  <si>
    <t>Kr:U:Zn:I:Ce</t>
  </si>
  <si>
    <t>N:Er:O:V:Ni:Ce</t>
  </si>
  <si>
    <t>N:Er:O:V:N:I:Ce</t>
  </si>
  <si>
    <t>NEROVNICE</t>
  </si>
  <si>
    <t>KNIHY</t>
  </si>
  <si>
    <t>K:Ni:H:Y</t>
  </si>
  <si>
    <t>K:N:I:H:Y</t>
  </si>
  <si>
    <t>TĚTIVY</t>
  </si>
  <si>
    <t>Te:Ti:V:Y</t>
  </si>
  <si>
    <t>TEČNY</t>
  </si>
  <si>
    <t>Te:C:N:Y</t>
  </si>
  <si>
    <t>PRŮBĚH</t>
  </si>
  <si>
    <t>PRŮBĚHY</t>
  </si>
  <si>
    <t>P:Ru:Be:H</t>
  </si>
  <si>
    <t>P:Ru:Be:H:Y</t>
  </si>
  <si>
    <t>SČÍTÁNÍ</t>
  </si>
  <si>
    <t>S:C:I:Ta:Ni</t>
  </si>
  <si>
    <t>S:C:I:Ta:N:I</t>
  </si>
  <si>
    <t>Sc:I:Ta:Ni</t>
  </si>
  <si>
    <t>Sc:I:Ta:N:I</t>
  </si>
  <si>
    <t>NÁSOBENÍ</t>
  </si>
  <si>
    <t>Na:S:O:Be:N:I</t>
  </si>
  <si>
    <t>Na:S:O:Be:Ni</t>
  </si>
  <si>
    <t>PARCIÁLNÍ</t>
  </si>
  <si>
    <t>P:Ar:C:I:Al:N:I</t>
  </si>
  <si>
    <t>P:Ar:C:I:Al:Ni</t>
  </si>
  <si>
    <t>ZNALOSTI</t>
  </si>
  <si>
    <t>Zn:Al:O:S:Ti</t>
  </si>
  <si>
    <t>Zn:Al:Os:Ti</t>
  </si>
  <si>
    <t>MOCNINA</t>
  </si>
  <si>
    <t>MOCNINY</t>
  </si>
  <si>
    <t>Mo:C:N:I:Na</t>
  </si>
  <si>
    <t>Mo:C:Ni:Na</t>
  </si>
  <si>
    <t>Mo:C:N:I:N:Y</t>
  </si>
  <si>
    <t>Mo:C:Ni:N:Y</t>
  </si>
  <si>
    <t>SÍLA</t>
  </si>
  <si>
    <t>Si:La</t>
  </si>
  <si>
    <t>S:I:La</t>
  </si>
  <si>
    <t>SKALARNI</t>
  </si>
  <si>
    <t>S:K:Al:Ar:N:I</t>
  </si>
  <si>
    <t>S:K:Al:Ar:Ni</t>
  </si>
  <si>
    <t>SOUČIN</t>
  </si>
  <si>
    <t>SOUČINY</t>
  </si>
  <si>
    <t>S:O:U:C:I:N</t>
  </si>
  <si>
    <t>S:O:U:C:I:N:Y</t>
  </si>
  <si>
    <t>S:O:U:C:I:Ni</t>
  </si>
  <si>
    <t>OHNISKO</t>
  </si>
  <si>
    <t>O:H:Ni:S:K:O</t>
  </si>
  <si>
    <t>O:H:N:I:S:K:O</t>
  </si>
  <si>
    <t>KOSINUS</t>
  </si>
  <si>
    <t>COSINUS</t>
  </si>
  <si>
    <t>COSINUSOIDY</t>
  </si>
  <si>
    <t>K:O:Si:N:U:S</t>
  </si>
  <si>
    <t>C:O:Si:N:U:S</t>
  </si>
  <si>
    <t>K:O:S:I:N:U:S</t>
  </si>
  <si>
    <t>K:Os:I:N:U:S</t>
  </si>
  <si>
    <t>K:Os:In:U:S</t>
  </si>
  <si>
    <t>K:O:S:In:U:S</t>
  </si>
  <si>
    <t>C:O:S:I:N:U:S</t>
  </si>
  <si>
    <t>C:Os:I:N:U:S</t>
  </si>
  <si>
    <t>C:Os:In:U:S</t>
  </si>
  <si>
    <t>C:O:S:In:U:S</t>
  </si>
  <si>
    <t>Co:Si:N:U:S</t>
  </si>
  <si>
    <t>Co:S:I:N:U:S</t>
  </si>
  <si>
    <t>Co:S:In:U:S</t>
  </si>
  <si>
    <t>C:O:Si:N:U:S:O:I:Dy</t>
  </si>
  <si>
    <t>C:O:S:I:N:U:S:O:I:Dy</t>
  </si>
  <si>
    <t>C:Os:I:N:U:S:O:I:Dy</t>
  </si>
  <si>
    <t>C:Os:In:U:S:O:I:Dy</t>
  </si>
  <si>
    <t>C:O:S:In:U:S:O:I:Dy</t>
  </si>
  <si>
    <t>Co:Si:N:U:S:O:I:Dy</t>
  </si>
  <si>
    <t>Co:S:I:N:U:S:O:I:Dy</t>
  </si>
  <si>
    <t>Co:S:In:U:S:O:I:Dy</t>
  </si>
  <si>
    <t>K:O:Si:N:U:S:O:I:Dy</t>
  </si>
  <si>
    <t>K:O:S:I:N:U:S:O:I:Dy</t>
  </si>
  <si>
    <t>K:Os:I:N:U:S:O:I:Dy</t>
  </si>
  <si>
    <t>K:Os:In:U:S:O:I:Dy</t>
  </si>
  <si>
    <t>K:O:S:In:U:S:O:I:Dy</t>
  </si>
  <si>
    <t>KÓTA</t>
  </si>
  <si>
    <t>K:O:Ta</t>
  </si>
  <si>
    <t>HARMONICKÝ</t>
  </si>
  <si>
    <t>H:Ar:Mo:Ni:C:K:Y</t>
  </si>
  <si>
    <t>H:Ar:Mo:N:I:C:K:Y</t>
  </si>
  <si>
    <t>FUNKCE</t>
  </si>
  <si>
    <t>F:U:N:K:Ce</t>
  </si>
  <si>
    <t>ČÍSLA</t>
  </si>
  <si>
    <t>C:I:S:La</t>
  </si>
  <si>
    <t>ASOCIATIVNÍ</t>
  </si>
  <si>
    <t>As:O:C:I:At:I:V:Ni</t>
  </si>
  <si>
    <t>As:O:C:I:At:I:V:N:I</t>
  </si>
  <si>
    <t>SPORNÝ</t>
  </si>
  <si>
    <t>S:Po:Rn:Y</t>
  </si>
  <si>
    <t>S:P:O:Rn:Y</t>
  </si>
  <si>
    <t>ŘÁDY</t>
  </si>
  <si>
    <t>Ra:Dy</t>
  </si>
  <si>
    <t>ŘADY</t>
  </si>
  <si>
    <t>C:Ar:K:Y</t>
  </si>
  <si>
    <t>C:Ar:Y</t>
  </si>
  <si>
    <t>PROCENTA</t>
  </si>
  <si>
    <t>Pr:O:Ce:N:Ta</t>
  </si>
  <si>
    <t>RELATIVNÍ</t>
  </si>
  <si>
    <t>Re:La:Ti:V:Ni</t>
  </si>
  <si>
    <t>Re:La:Ti:V:N:I</t>
  </si>
  <si>
    <t>ČÁRY (zlomkové)</t>
  </si>
  <si>
    <t>ČÁRKY (desetinné)</t>
  </si>
  <si>
    <t>CELÁ (čísla)</t>
  </si>
  <si>
    <t>Ce:La</t>
  </si>
  <si>
    <t>IRACIONÁLNÍ</t>
  </si>
  <si>
    <t>RACIONÁLNÍ</t>
  </si>
  <si>
    <t>I:Ra:C:I:O:N:Al:N:I</t>
  </si>
  <si>
    <t>I:Ra:C:I:O:N:Al:Ni</t>
  </si>
  <si>
    <t>Ra:C:I:O:N:Al:N:I</t>
  </si>
  <si>
    <t>Ra:C:I:O:N:Al:Ni</t>
  </si>
  <si>
    <t>Ir:Ac:I:O:N:Al:N:I</t>
  </si>
  <si>
    <t>Ir:Ac:I:O:N:Al:Ni</t>
  </si>
  <si>
    <t>SUDÝ</t>
  </si>
  <si>
    <t>LICHÝ</t>
  </si>
  <si>
    <t>S:U:Dy</t>
  </si>
  <si>
    <t>Li:C:H:Y</t>
  </si>
  <si>
    <t>O:P:Ac:N:Y</t>
  </si>
  <si>
    <t>O:Pa:C:Ni</t>
  </si>
  <si>
    <t>O:P:Ac:Ni</t>
  </si>
  <si>
    <t>OPAČNÉ</t>
  </si>
  <si>
    <t>O:Pa:C:Ne</t>
  </si>
  <si>
    <t>O:P:Ac:Ne</t>
  </si>
  <si>
    <t>INVERZNÍ</t>
  </si>
  <si>
    <t>I:N:V:Er:Zn:I</t>
  </si>
  <si>
    <t>In:V:Er:Zn:I</t>
  </si>
  <si>
    <t>KUBICKÝ</t>
  </si>
  <si>
    <t>K:U:Bi:C:K:Y</t>
  </si>
  <si>
    <t>K:U:B:I:C:K:Y</t>
  </si>
  <si>
    <t>PERIODICKÝ</t>
  </si>
  <si>
    <t>P:Er:I:O:Dy:C:K:Y</t>
  </si>
  <si>
    <t>H:Y:P:Er:B:O:La</t>
  </si>
  <si>
    <t>HRANA</t>
  </si>
  <si>
    <t>H:Ra:Na</t>
  </si>
  <si>
    <t>HYPERBOLA</t>
  </si>
  <si>
    <t>HYPERBOLICKÝ</t>
  </si>
  <si>
    <t>H:Y:P:Er:B:O:Li:C:K:Y</t>
  </si>
  <si>
    <t>CHYBA</t>
  </si>
  <si>
    <t>CHYBY</t>
  </si>
  <si>
    <t>C:H:Y:Ba</t>
  </si>
  <si>
    <t>C:H:Y:B:Y</t>
  </si>
  <si>
    <t>STATISTICKÝ</t>
  </si>
  <si>
    <t>STATISTIK</t>
  </si>
  <si>
    <t>S:Ta:Ti:S:Ti:K</t>
  </si>
  <si>
    <t>S:Ta:Ti:S:Ti:C:K:Y</t>
  </si>
  <si>
    <t>KLASIFIKOVAT</t>
  </si>
  <si>
    <t>K:La:Si:F:I:K:O:V:At</t>
  </si>
  <si>
    <t>K:La:S:I:F:I:K:O:V:At</t>
  </si>
  <si>
    <t>KORELACE</t>
  </si>
  <si>
    <t>K:O:Re:La:Ce</t>
  </si>
  <si>
    <t>KOŘEN</t>
  </si>
  <si>
    <t>KOŘENY</t>
  </si>
  <si>
    <t>K:O:Re:N</t>
  </si>
  <si>
    <t>K:O:Re:N:Y</t>
  </si>
  <si>
    <t>K:O:Re:Ni</t>
  </si>
  <si>
    <t>KRYCHLIČKY</t>
  </si>
  <si>
    <t>Kr:Y:C:H:Li:C:K:Y</t>
  </si>
  <si>
    <t>Kr:I:C:H:Li:C:K:Y</t>
  </si>
  <si>
    <t>Kr:Y:C:H:Li:C:K:I</t>
  </si>
  <si>
    <t>Kr:I:C:H:Li:C:K:I</t>
  </si>
  <si>
    <t>LICHOBĚŽNÍK</t>
  </si>
  <si>
    <t>Li:C:H:O:Be:Zn:I:K</t>
  </si>
  <si>
    <t>Li:C:H:O:Be:Zn:Y:K</t>
  </si>
  <si>
    <t>LICHOBĚŽNÍKY</t>
  </si>
  <si>
    <t>Li:C:H:O:Be:Zn:I:K:Y</t>
  </si>
  <si>
    <t>Li:C:H:O:Be:Zn:Y:K:Y</t>
  </si>
  <si>
    <t>KŘIVOČÁRA</t>
  </si>
  <si>
    <t>Kr:I:V:O:Ca:Ra</t>
  </si>
  <si>
    <t>KŘIVOČÁRY</t>
  </si>
  <si>
    <t>Kr:I:V:O:C:Ar:Y</t>
  </si>
  <si>
    <t>Kr:I:V:O:C:Ar:I</t>
  </si>
  <si>
    <t>Te:C:N:O:V:Y</t>
  </si>
  <si>
    <t>Te:C:No:V:Y</t>
  </si>
  <si>
    <t>MNOHOSTĚN</t>
  </si>
  <si>
    <t>Mn:O:H:O:S:Te:N</t>
  </si>
  <si>
    <t>MNOHOSTĚNY</t>
  </si>
  <si>
    <t>Mn:O:H:O:S:Te:N:Y</t>
  </si>
  <si>
    <t>TEČNOVÝ</t>
  </si>
  <si>
    <t>TĚTIVOVÝ</t>
  </si>
  <si>
    <t>Te:Ti:V:O:V:Y</t>
  </si>
  <si>
    <t>TEČNA</t>
  </si>
  <si>
    <t>Te:C:Na</t>
  </si>
  <si>
    <t>REÁLNÝ</t>
  </si>
  <si>
    <t>Re:Al:N:Y</t>
  </si>
  <si>
    <t>Re:Al:Ni</t>
  </si>
  <si>
    <t>SOUSTAVY</t>
  </si>
  <si>
    <t>FIBONACCI</t>
  </si>
  <si>
    <t>F:I:B:O:N:Ac:C:I</t>
  </si>
  <si>
    <t>F:I:B:O:Na:C:C:I</t>
  </si>
  <si>
    <t>S:O:U:S:Ta:V:Y</t>
  </si>
  <si>
    <t>MOCNĚNEC</t>
  </si>
  <si>
    <t>Mo:C:Ne:Ne:C</t>
  </si>
  <si>
    <t>NÁSOBEK</t>
  </si>
  <si>
    <t>Na:S:O:Be:K</t>
  </si>
  <si>
    <t>NÁSOBKY</t>
  </si>
  <si>
    <t>Na:S:O:B:K:Y</t>
  </si>
  <si>
    <t>N:As:O:B:K:Y</t>
  </si>
  <si>
    <t>N:As:O:Be:K</t>
  </si>
  <si>
    <t>SEČNA</t>
  </si>
  <si>
    <t>SEČNY</t>
  </si>
  <si>
    <t>Se:C:Na</t>
  </si>
  <si>
    <t>Se:C:N:Y</t>
  </si>
  <si>
    <t>Se:C:Ni</t>
  </si>
  <si>
    <t>NEGACE</t>
  </si>
  <si>
    <t>Ne:Ga:Ce</t>
  </si>
  <si>
    <t>LINEÁRNÍ</t>
  </si>
  <si>
    <t>Li:Ne:Ar:Ni</t>
  </si>
  <si>
    <t>Li:Ne:Ar:N:I</t>
  </si>
  <si>
    <t>BAYES</t>
  </si>
  <si>
    <t>Ba:Y:Es</t>
  </si>
  <si>
    <t>NAPIER</t>
  </si>
  <si>
    <t>Na:P:I:Er</t>
  </si>
  <si>
    <t>CAVALIERI</t>
  </si>
  <si>
    <t>Ca:V:Al:I:Er:I</t>
  </si>
  <si>
    <t>CAUCHY</t>
  </si>
  <si>
    <t>Ca:U:C:H:Y</t>
  </si>
  <si>
    <t>C:Au:C:H:Y</t>
  </si>
  <si>
    <t>NEZNÁMÝ</t>
  </si>
  <si>
    <t>Ne:Zn:Am:Y</t>
  </si>
  <si>
    <t>NULA</t>
  </si>
  <si>
    <t>N:U:La</t>
  </si>
  <si>
    <t>OKOLÍ</t>
  </si>
  <si>
    <t>O:K:O:Li</t>
  </si>
  <si>
    <t>OBLASTI</t>
  </si>
  <si>
    <t>O:B:La:S:Ti</t>
  </si>
  <si>
    <t>OBVODY</t>
  </si>
  <si>
    <t>O:B:V:O:Dy</t>
  </si>
  <si>
    <t>POLÁRNÍ</t>
  </si>
  <si>
    <t>P:O:La:Rn:I</t>
  </si>
  <si>
    <t>Po:La:Rn:I</t>
  </si>
  <si>
    <t>PARABOLA</t>
  </si>
  <si>
    <t>P:Ar:B:O:La</t>
  </si>
  <si>
    <t>PATA</t>
  </si>
  <si>
    <t>Pa:Ta</t>
  </si>
  <si>
    <t>PERIODY</t>
  </si>
  <si>
    <t>P:Er:I:O:Dy</t>
  </si>
  <si>
    <t>PLUSY</t>
  </si>
  <si>
    <t>P:Lu:S:Y</t>
  </si>
  <si>
    <t>ÚSEČ</t>
  </si>
  <si>
    <t>ÚSEKY</t>
  </si>
  <si>
    <t>U:Se:C</t>
  </si>
  <si>
    <t>U:Se:K</t>
  </si>
  <si>
    <t>U:Se:K:Y</t>
  </si>
  <si>
    <t>ÚSEK</t>
  </si>
  <si>
    <t>VÝSEČ</t>
  </si>
  <si>
    <t>VÝSEK</t>
  </si>
  <si>
    <t>VÝSEKY</t>
  </si>
  <si>
    <t>V:Y:Se:C</t>
  </si>
  <si>
    <t>VÝSEČE</t>
  </si>
  <si>
    <t>V:Y:Se:Ce</t>
  </si>
  <si>
    <t>V:Y:Se:K</t>
  </si>
  <si>
    <t>V:Y:Se:K:Y</t>
  </si>
  <si>
    <t>POKUS</t>
  </si>
  <si>
    <t>Po:K:U:S</t>
  </si>
  <si>
    <t>P:O:K:U:S</t>
  </si>
  <si>
    <t>POKUSY</t>
  </si>
  <si>
    <t>Po:K:U:S:Y</t>
  </si>
  <si>
    <t>P:O:K:U:S:Y</t>
  </si>
  <si>
    <t>Po:K:U:Si</t>
  </si>
  <si>
    <t>P:O:K:U:Si</t>
  </si>
  <si>
    <t>NÁHODY</t>
  </si>
  <si>
    <t>Na:H:O:Dy</t>
  </si>
  <si>
    <t>KONVERGENCE</t>
  </si>
  <si>
    <t>K:O:N:V:Er:Ge:N:Ce</t>
  </si>
  <si>
    <t>OHRANIČENÝ</t>
  </si>
  <si>
    <t>OHRANIČENÁ</t>
  </si>
  <si>
    <t>O:H:Ra:N:I:Ce:N:Y</t>
  </si>
  <si>
    <t>O:H:Ra:Ni:Ce:Ni</t>
  </si>
  <si>
    <t>O:H:Ra:Ni:Ce:N:Y</t>
  </si>
  <si>
    <t>O:H:Ra:N:I:Ce:Na</t>
  </si>
  <si>
    <t>O:H:Ra:Ni:Ce:Na</t>
  </si>
  <si>
    <t>HRANICE</t>
  </si>
  <si>
    <t>H:Ra:Ni:Ce</t>
  </si>
  <si>
    <t>H:Ra:N:I:Ce</t>
  </si>
  <si>
    <t>SHORA</t>
  </si>
  <si>
    <t>S:H:O:Ra</t>
  </si>
  <si>
    <t>POUČKY</t>
  </si>
  <si>
    <t>P:O:U:C:K:Y</t>
  </si>
  <si>
    <t>Po:U:C:K:Y</t>
  </si>
  <si>
    <t>PRINCIP</t>
  </si>
  <si>
    <t>Pr:I:N:C:I:P</t>
  </si>
  <si>
    <t>F:U:N:K:C:Ni</t>
  </si>
  <si>
    <t>F:U:N:K:C:N:I</t>
  </si>
  <si>
    <t>VÝŠKY</t>
  </si>
  <si>
    <t>V:Y:S:K:Y</t>
  </si>
  <si>
    <t>FUNKČNÍ</t>
  </si>
  <si>
    <t>REKURENCE</t>
  </si>
  <si>
    <t>Re:K:U:Re:N:Ce</t>
  </si>
  <si>
    <t>PRVOČÍSLA</t>
  </si>
  <si>
    <t>Pr:V:O:C:I:S:La</t>
  </si>
  <si>
    <t>PŘENOS</t>
  </si>
  <si>
    <t>P:Re:N:O:S</t>
  </si>
  <si>
    <t>PŘENOSY</t>
  </si>
  <si>
    <t>P:Re:N:O:S:Y</t>
  </si>
  <si>
    <t>P:Re:No:S</t>
  </si>
  <si>
    <t>P:Re:No:S:Y</t>
  </si>
  <si>
    <t>PŘEPONA</t>
  </si>
  <si>
    <t>PŘEPONY</t>
  </si>
  <si>
    <t>P:Re:Po:Na</t>
  </si>
  <si>
    <t>P:Re:P:O:Na</t>
  </si>
  <si>
    <t>P:Re:Po:N:Y</t>
  </si>
  <si>
    <t>P:Re:P:O:N:Y</t>
  </si>
  <si>
    <t>HRANIČNÍ</t>
  </si>
  <si>
    <t>H:Ra:Ni:C:Ni</t>
  </si>
  <si>
    <t>H:Ra:N:I:C:Ni</t>
  </si>
  <si>
    <t>H:Ra:Ni:C:N:I</t>
  </si>
  <si>
    <t>H:Ra:N:I:C:N:I</t>
  </si>
  <si>
    <t>REKTIFIKAČNÍ</t>
  </si>
  <si>
    <t>Re:K:Ti:F:I:K:Ac:Ni</t>
  </si>
  <si>
    <t>Re:K:Ti:F:I:K:Ac:N:I</t>
  </si>
  <si>
    <t>ÚSEKOVÝ</t>
  </si>
  <si>
    <t>U:Se:K:O:V:Y</t>
  </si>
  <si>
    <t>RECIPROKÝ</t>
  </si>
  <si>
    <t>Re:C:I:Pr:O:K:Y</t>
  </si>
  <si>
    <t>OBECNÁ</t>
  </si>
  <si>
    <t>OBECNÝ</t>
  </si>
  <si>
    <t>O:Be:C:Na</t>
  </si>
  <si>
    <t>O:Be:C:N:Y</t>
  </si>
  <si>
    <t>RŮZNOBĚŽNÝ</t>
  </si>
  <si>
    <t>Ru:Zn:O:Be:Zn:Y</t>
  </si>
  <si>
    <t>KONEČNÝ</t>
  </si>
  <si>
    <t>SČÍTANEC</t>
  </si>
  <si>
    <t>S:C:I:Ta:Ne:C</t>
  </si>
  <si>
    <t>Sc:I:Ta:Ne:C</t>
  </si>
  <si>
    <t>K:O:Ne:C:N:Y</t>
  </si>
  <si>
    <t>LEGENDA VIZ LIST 2</t>
  </si>
  <si>
    <t>MACHES - MATEMATICKO CHEMICKÉ SCRABBLE</t>
  </si>
  <si>
    <t>PASCALŮV</t>
  </si>
  <si>
    <t>KOSINUSOIDY</t>
  </si>
  <si>
    <t>SÍTĚ</t>
  </si>
  <si>
    <t>Si:Te</t>
  </si>
  <si>
    <t>N-TICE</t>
  </si>
  <si>
    <t>N:Ti:Ce</t>
  </si>
  <si>
    <t>PRVNÍ</t>
  </si>
  <si>
    <t>Pr:V:Ni</t>
  </si>
  <si>
    <t>PRŮNIK</t>
  </si>
  <si>
    <t>P:Ru:N:I:K</t>
  </si>
  <si>
    <t>P:Ru:Ni:K</t>
  </si>
  <si>
    <t>OSOVY</t>
  </si>
  <si>
    <t>O:S:O:V:Y</t>
  </si>
  <si>
    <t>UMOCNITI</t>
  </si>
  <si>
    <t>U:Mo:C:Ni:Ti</t>
  </si>
  <si>
    <t>FUCHS</t>
  </si>
  <si>
    <t>F:U.C:H:S</t>
  </si>
  <si>
    <t>SEČÍSTI</t>
  </si>
  <si>
    <t>Se:C:I:S:Ti</t>
  </si>
  <si>
    <t>PI</t>
  </si>
  <si>
    <t>P:I</t>
  </si>
  <si>
    <t>MOCNOSTI</t>
  </si>
  <si>
    <t>Mo:C:No:S:Ti</t>
  </si>
  <si>
    <t>TAU</t>
  </si>
  <si>
    <t>Ta:U</t>
  </si>
  <si>
    <t>KONSTANTA</t>
  </si>
  <si>
    <t>K:O:N:S.Ta:N:Ta</t>
  </si>
  <si>
    <t>BINARNI</t>
  </si>
  <si>
    <t>Bi:N:Ar:Ni</t>
  </si>
  <si>
    <t>TISÍC</t>
  </si>
  <si>
    <t>Ti:Si:C</t>
  </si>
  <si>
    <t>TISÍCE</t>
  </si>
  <si>
    <t>Ti:Si:Ce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</si>
  <si>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</si>
  <si>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</si>
  <si>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</si>
  <si>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</si>
  <si>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</si>
  <si>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</si>
  <si>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</si>
  <si>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</si>
  <si>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</si>
  <si>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</si>
  <si>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</si>
  <si>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</si>
  <si>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</si>
  <si>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</si>
  <si>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</si>
  <si>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</si>
  <si>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</si>
  <si>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</si>
  <si>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</si>
  <si>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</si>
  <si>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</si>
  <si>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</si>
  <si>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</si>
  <si>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</si>
  <si>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Ar(18)</t>
  </si>
  <si>
    <t>At(85)</t>
  </si>
  <si>
    <t>Au(79)</t>
  </si>
  <si>
    <t>Am(95)</t>
  </si>
  <si>
    <t>As(33)</t>
  </si>
  <si>
    <t>Ag(47)</t>
  </si>
  <si>
    <t>Br(35)</t>
  </si>
  <si>
    <t>Bi(83)</t>
  </si>
  <si>
    <t>Be(4)</t>
  </si>
  <si>
    <t>B(5)</t>
  </si>
  <si>
    <t>Ba(56)</t>
  </si>
  <si>
    <t>Bk(97)</t>
  </si>
  <si>
    <t>C(6)</t>
  </si>
  <si>
    <t>Cl(17)</t>
  </si>
  <si>
    <t>Ca(20)</t>
  </si>
  <si>
    <t>Cr(24)</t>
  </si>
  <si>
    <t>Co(27)</t>
  </si>
  <si>
    <t>Cu(29)</t>
  </si>
  <si>
    <t>Cd(48)</t>
  </si>
  <si>
    <t>Cs(55)</t>
  </si>
  <si>
    <t>Ce(58)</t>
  </si>
  <si>
    <t>Dy(66)</t>
  </si>
  <si>
    <t>Er(68)</t>
  </si>
  <si>
    <t>Es(99)</t>
  </si>
  <si>
    <t>Eu(63)</t>
  </si>
  <si>
    <t>Fr(87)</t>
  </si>
  <si>
    <t>Fe(26)</t>
  </si>
  <si>
    <t>F(9)</t>
  </si>
  <si>
    <t>Fm(100)</t>
  </si>
  <si>
    <t>Ga(31)</t>
  </si>
  <si>
    <t>Ge(32)</t>
  </si>
  <si>
    <t>Gd(64)</t>
  </si>
  <si>
    <t>H(1)</t>
  </si>
  <si>
    <t>Hf(72)</t>
  </si>
  <si>
    <t>Hg(80)</t>
  </si>
  <si>
    <t>He(2)</t>
  </si>
  <si>
    <t>Ho(67)</t>
  </si>
  <si>
    <t>Ir(77)</t>
  </si>
  <si>
    <t>In(49)</t>
  </si>
  <si>
    <t>I(53)</t>
  </si>
  <si>
    <t>Li(3)</t>
  </si>
  <si>
    <t>La(57)</t>
  </si>
  <si>
    <t>Lu(71)</t>
  </si>
  <si>
    <t>Lr(103)</t>
  </si>
  <si>
    <t>K(19)</t>
  </si>
  <si>
    <t>Kr(36)</t>
  </si>
  <si>
    <t>Mg(12)</t>
  </si>
  <si>
    <t>Mo(42)</t>
  </si>
  <si>
    <t>Mn(25)</t>
  </si>
  <si>
    <t>Md(101)</t>
  </si>
  <si>
    <t>Na(11)</t>
  </si>
  <si>
    <t>Nb(41)</t>
  </si>
  <si>
    <t>Ni(28)</t>
  </si>
  <si>
    <t>N(7)</t>
  </si>
  <si>
    <t>No(102)</t>
  </si>
  <si>
    <t>Np(93)</t>
  </si>
  <si>
    <t>Nd(60)</t>
  </si>
  <si>
    <t>Ne(10)</t>
  </si>
  <si>
    <t>O(8)</t>
  </si>
  <si>
    <t>Os(76)</t>
  </si>
  <si>
    <t>Pd(46)</t>
  </si>
  <si>
    <t>Pt(78)</t>
  </si>
  <si>
    <t>Pb(82)</t>
  </si>
  <si>
    <t>P(15)</t>
  </si>
  <si>
    <t>Po(84)</t>
  </si>
  <si>
    <t>Pr(59)</t>
  </si>
  <si>
    <t>Pm(61)</t>
  </si>
  <si>
    <t>Pu(94)</t>
  </si>
  <si>
    <t>Pa(91)</t>
  </si>
  <si>
    <t>Re(75)</t>
  </si>
  <si>
    <t>Ru(44)</t>
  </si>
  <si>
    <t>Rh(45)</t>
  </si>
  <si>
    <t>Rn(86)</t>
  </si>
  <si>
    <t>Ra(88)</t>
  </si>
  <si>
    <t>Rb(37)</t>
  </si>
  <si>
    <t>Sr(38)</t>
  </si>
  <si>
    <t>Sc(21)</t>
  </si>
  <si>
    <t>Si(14)</t>
  </si>
  <si>
    <t>S(16)</t>
  </si>
  <si>
    <t>Sn(50)</t>
  </si>
  <si>
    <t>Sb(51)</t>
  </si>
  <si>
    <t>Se(34)</t>
  </si>
  <si>
    <t>Sm(62)</t>
  </si>
  <si>
    <t>Ti(22)</t>
  </si>
  <si>
    <t>Ta(73)</t>
  </si>
  <si>
    <t>Tc(43)</t>
  </si>
  <si>
    <t>Tl(81)</t>
  </si>
  <si>
    <t>Te(52)</t>
  </si>
  <si>
    <t>Tb(65)</t>
  </si>
  <si>
    <t>Tm(69)</t>
  </si>
  <si>
    <t>Th(90)</t>
  </si>
  <si>
    <t>U(92)</t>
  </si>
  <si>
    <t>V(23)</t>
  </si>
  <si>
    <t>W(74)</t>
  </si>
  <si>
    <t>Xe(54)</t>
  </si>
  <si>
    <t>Y(39)</t>
  </si>
  <si>
    <t>Yb(70)</t>
  </si>
  <si>
    <t>Zr(40)</t>
  </si>
  <si>
    <t>Zn(30)</t>
  </si>
  <si>
    <t>Cm(96)</t>
  </si>
  <si>
    <t>Cf(98)</t>
  </si>
  <si>
    <t>Ac(89)</t>
  </si>
  <si>
    <t>Al(13)</t>
  </si>
  <si>
    <t>Mt(109)</t>
  </si>
  <si>
    <t>Sg(106)</t>
  </si>
  <si>
    <t>Hs(108)</t>
  </si>
  <si>
    <t>Rf(104)</t>
  </si>
  <si>
    <t>Db(105)</t>
  </si>
  <si>
    <t>Bh(107)</t>
  </si>
  <si>
    <t>Cn(112)</t>
  </si>
  <si>
    <t>Ds(110)</t>
  </si>
  <si>
    <t>Rg(111)</t>
  </si>
  <si>
    <t>Uut(113)</t>
  </si>
  <si>
    <t>Fl(114)</t>
  </si>
  <si>
    <t>Uup(115)</t>
  </si>
  <si>
    <t>Lv(116)</t>
  </si>
  <si>
    <t>Uus(117)</t>
  </si>
  <si>
    <t>Uuo(118)</t>
  </si>
  <si>
    <t>PODSTATNÉ JMÉNO V PRVNÍM PÁDU JEDNOTNÉHO I MNOŽNÉHO ČÍSLA</t>
  </si>
  <si>
    <t>SLOVESO V INFINITIVU</t>
  </si>
  <si>
    <t>PŘÍDAVNÉ JMÉNO V PRVNÍM PÁDU JEDNOTNÉHO I MNOŽNÉHO ČÍSLA, VŠECH RODŮ, NESTUPŇOVANÉ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</si>
</sst>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0" fillId="3" borderId="0" xfId="0" applyFill="1"/>
    <xf numFmtId="0" fontId="0" fillId="0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</cellXfs>
  <cellStyles count="1">
    <cellStyle name="Normální" xfId="0" builtinId="0"/>
  </cellStyles>
  <dxfs count="8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7BBC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</xdr:row>
      <xdr:rowOff>7620</xdr:rowOff>
    </xdr:from>
    <xdr:to>
      <xdr:col>0</xdr:col>
      <xdr:colOff>624840</xdr:colOff>
      <xdr:row>34</xdr:row>
      <xdr:rowOff>0</xdr:rowOff>
    </xdr:to>
    <xdr:cxnSp macro="">
      <xdr:nvCxnSpPr>
        <xdr:cNvPr id="16" name="Přímá spojnice 15"/>
        <xdr:cNvCxnSpPr/>
      </xdr:nvCxnSpPr>
      <xdr:spPr>
        <a:xfrm flipH="1">
          <a:off x="617220" y="556260"/>
          <a:ext cx="7620" cy="49301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ulka1" displayName="Tabulka1" ref="A4:H34" headerRowCount="0" totalsRowShown="0">
  <tableColumns count="8">
    <tableColumn id="1" name="Sloupec1" dataDxfId="5"/>
    <tableColumn id="2" name="Sloupec2" dataDxfId="0"/>
    <tableColumn id="3" name="Sloupec3" dataDxfId="1"/>
    <tableColumn id="4" name="Sloupec4" dataDxfId="4"/>
    <tableColumn id="5" name="Sloupec5" dataDxfId="3"/>
    <tableColumn id="6" name="Sloupec6" dataDxfId="2"/>
    <tableColumn id="7" name="Sloupec7" dataDxfId="7"/>
    <tableColumn id="8" name="Sloupec8" dataDxfId="6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1"/>
  <sheetViews>
    <sheetView topLeftCell="A4" zoomScale="90" zoomScaleNormal="90" workbookViewId="0">
      <selection activeCell="A187" sqref="A187"/>
    </sheetView>
  </sheetViews>
  <sheetFormatPr defaultRowHeight="14.4" x14ac:dyDescent="0.3"/>
  <cols>
    <col min="1" max="1" width="24.33203125" customWidth="1"/>
    <col min="2" max="2" width="25.44140625" customWidth="1"/>
    <col min="3" max="3" width="10.88671875" customWidth="1"/>
    <col min="4" max="4" width="31.44140625" customWidth="1"/>
    <col min="5" max="5" width="11.33203125" bestFit="1" customWidth="1"/>
    <col min="6" max="6" width="16.6640625" customWidth="1"/>
    <col min="8" max="8" width="14.109375" customWidth="1"/>
    <col min="10" max="10" width="14" customWidth="1"/>
    <col min="12" max="12" width="11.88671875" customWidth="1"/>
    <col min="14" max="14" width="10.6640625" customWidth="1"/>
  </cols>
  <sheetData>
    <row r="1" spans="1:17" ht="21" x14ac:dyDescent="0.4">
      <c r="A1" s="4" t="s">
        <v>478</v>
      </c>
      <c r="B1" s="1"/>
      <c r="C1" s="1"/>
    </row>
    <row r="2" spans="1:17" ht="21" x14ac:dyDescent="0.4">
      <c r="A2" s="3"/>
    </row>
    <row r="3" spans="1:17" x14ac:dyDescent="0.3">
      <c r="A3" t="s">
        <v>477</v>
      </c>
    </row>
    <row r="5" spans="1:17" s="2" customFormat="1" x14ac:dyDescent="0.3">
      <c r="A5" s="2" t="s">
        <v>3</v>
      </c>
      <c r="B5" s="2" t="s">
        <v>6</v>
      </c>
      <c r="C5" s="2" t="s">
        <v>4</v>
      </c>
      <c r="D5" s="2" t="s">
        <v>5</v>
      </c>
      <c r="E5" s="2" t="s">
        <v>4</v>
      </c>
      <c r="F5" s="2" t="s">
        <v>6</v>
      </c>
      <c r="G5" s="2" t="s">
        <v>4</v>
      </c>
      <c r="H5" s="2" t="s">
        <v>5</v>
      </c>
      <c r="I5" s="2" t="s">
        <v>4</v>
      </c>
      <c r="J5" s="2" t="s">
        <v>6</v>
      </c>
      <c r="K5" s="2" t="s">
        <v>4</v>
      </c>
      <c r="L5" s="2" t="s">
        <v>5</v>
      </c>
      <c r="M5" s="2" t="s">
        <v>4</v>
      </c>
    </row>
    <row r="7" spans="1:17" x14ac:dyDescent="0.3">
      <c r="A7" t="s">
        <v>237</v>
      </c>
      <c r="B7" t="s">
        <v>238</v>
      </c>
      <c r="C7">
        <f>33+8+6+53+85+53+23+28</f>
        <v>289</v>
      </c>
      <c r="D7" t="s">
        <v>239</v>
      </c>
      <c r="E7">
        <f>33+8+6+53+85+53+23+7+53</f>
        <v>321</v>
      </c>
    </row>
    <row r="8" spans="1:17" x14ac:dyDescent="0.3">
      <c r="A8" t="s">
        <v>360</v>
      </c>
      <c r="B8" t="s">
        <v>361</v>
      </c>
      <c r="C8">
        <f>56+39+99</f>
        <v>194</v>
      </c>
    </row>
    <row r="9" spans="1:17" x14ac:dyDescent="0.3">
      <c r="A9" s="5" t="s">
        <v>506</v>
      </c>
      <c r="B9" s="5" t="s">
        <v>507</v>
      </c>
      <c r="C9" s="5">
        <f>83+7+18+28</f>
        <v>136</v>
      </c>
    </row>
    <row r="10" spans="1:17" x14ac:dyDescent="0.3">
      <c r="A10" t="s">
        <v>35</v>
      </c>
      <c r="B10" t="s">
        <v>36</v>
      </c>
      <c r="C10">
        <f>5+8+6+7+53</f>
        <v>79</v>
      </c>
      <c r="D10" t="s">
        <v>37</v>
      </c>
      <c r="E10">
        <f>5+8+6+28</f>
        <v>47</v>
      </c>
    </row>
    <row r="11" spans="1:17" x14ac:dyDescent="0.3">
      <c r="A11" t="s">
        <v>120</v>
      </c>
      <c r="B11" t="s">
        <v>121</v>
      </c>
      <c r="C11">
        <f>5+8+66</f>
        <v>79</v>
      </c>
    </row>
    <row r="12" spans="1:17" x14ac:dyDescent="0.3">
      <c r="A12" t="s">
        <v>142</v>
      </c>
      <c r="B12" t="s">
        <v>144</v>
      </c>
      <c r="C12">
        <f>6+18+52+14+92+16</f>
        <v>198</v>
      </c>
      <c r="D12" t="s">
        <v>145</v>
      </c>
      <c r="E12">
        <f>6+89+52+16+53+92+16</f>
        <v>324</v>
      </c>
    </row>
    <row r="13" spans="1:17" x14ac:dyDescent="0.3">
      <c r="A13" t="s">
        <v>366</v>
      </c>
      <c r="B13" t="s">
        <v>367</v>
      </c>
      <c r="C13">
        <f>20+92+6+1+39</f>
        <v>158</v>
      </c>
      <c r="D13" t="s">
        <v>368</v>
      </c>
      <c r="E13">
        <f>6+79+6+1+39</f>
        <v>131</v>
      </c>
    </row>
    <row r="14" spans="1:17" x14ac:dyDescent="0.3">
      <c r="A14" t="s">
        <v>364</v>
      </c>
      <c r="B14" t="s">
        <v>365</v>
      </c>
      <c r="C14">
        <f>20+23+13+53+68+53</f>
        <v>230</v>
      </c>
    </row>
    <row r="15" spans="1:17" x14ac:dyDescent="0.3">
      <c r="A15" t="s">
        <v>255</v>
      </c>
      <c r="B15" t="s">
        <v>256</v>
      </c>
      <c r="C15">
        <f>58+57</f>
        <v>115</v>
      </c>
    </row>
    <row r="16" spans="1:17" x14ac:dyDescent="0.3">
      <c r="A16" t="s">
        <v>200</v>
      </c>
      <c r="B16" t="s">
        <v>203</v>
      </c>
      <c r="C16">
        <f>6+8+14+7+92+16</f>
        <v>143</v>
      </c>
      <c r="D16" t="s">
        <v>208</v>
      </c>
      <c r="E16">
        <f>6+8+16+53+7+92+16</f>
        <v>198</v>
      </c>
      <c r="F16" t="s">
        <v>209</v>
      </c>
      <c r="G16">
        <f>6+76+53+7+92+16</f>
        <v>250</v>
      </c>
      <c r="H16" t="s">
        <v>210</v>
      </c>
      <c r="I16">
        <f>6+76+49+92+16</f>
        <v>239</v>
      </c>
      <c r="J16" t="s">
        <v>211</v>
      </c>
      <c r="K16">
        <f>6+8+16+49+92+16</f>
        <v>187</v>
      </c>
      <c r="L16" t="s">
        <v>212</v>
      </c>
      <c r="M16">
        <f>27+14+7+92+16</f>
        <v>156</v>
      </c>
      <c r="N16" t="s">
        <v>213</v>
      </c>
      <c r="O16">
        <f>27+16+53+7+92+16</f>
        <v>211</v>
      </c>
      <c r="P16" t="s">
        <v>214</v>
      </c>
      <c r="Q16">
        <f>27+16+49+92+16</f>
        <v>200</v>
      </c>
    </row>
    <row r="17" spans="1:17" x14ac:dyDescent="0.3">
      <c r="A17" t="s">
        <v>201</v>
      </c>
      <c r="B17" t="s">
        <v>215</v>
      </c>
      <c r="C17">
        <f>6+8+14+7+92+16+8+53+66</f>
        <v>270</v>
      </c>
      <c r="D17" t="s">
        <v>216</v>
      </c>
      <c r="E17">
        <f>6+8+16+53+7+92+16+8+53+66</f>
        <v>325</v>
      </c>
      <c r="F17" t="s">
        <v>217</v>
      </c>
      <c r="G17">
        <f>6+76+53+7+92+16+8+53+66</f>
        <v>377</v>
      </c>
      <c r="H17" t="s">
        <v>218</v>
      </c>
      <c r="I17">
        <f>6+76+49+92+16+8+53+66</f>
        <v>366</v>
      </c>
      <c r="J17" t="s">
        <v>219</v>
      </c>
      <c r="K17">
        <f>6+8+16+49+92+16+8+53+66</f>
        <v>314</v>
      </c>
      <c r="L17" t="s">
        <v>220</v>
      </c>
      <c r="M17">
        <f>27+14+7+92+16+8+53+66</f>
        <v>283</v>
      </c>
      <c r="N17" t="s">
        <v>221</v>
      </c>
      <c r="O17">
        <f>27+16+53+7+92+16+8+53+66</f>
        <v>338</v>
      </c>
      <c r="P17" t="s">
        <v>222</v>
      </c>
      <c r="Q17">
        <f>27+16+49+92+16+8+53+66</f>
        <v>327</v>
      </c>
    </row>
    <row r="18" spans="1:17" x14ac:dyDescent="0.3">
      <c r="A18" t="s">
        <v>40</v>
      </c>
      <c r="B18" t="s">
        <v>41</v>
      </c>
      <c r="C18">
        <f>6+8+73+7+32+7+16</f>
        <v>149</v>
      </c>
      <c r="D18" t="s">
        <v>42</v>
      </c>
      <c r="E18">
        <f>27+73+7+32+7+16</f>
        <v>162</v>
      </c>
    </row>
    <row r="19" spans="1:17" x14ac:dyDescent="0.3">
      <c r="A19" t="s">
        <v>139</v>
      </c>
      <c r="B19" t="s">
        <v>140</v>
      </c>
      <c r="C19">
        <f>6+8+73+7+32+7+73</f>
        <v>206</v>
      </c>
      <c r="D19" t="s">
        <v>141</v>
      </c>
      <c r="E19">
        <f>27+73+7+32+7+73</f>
        <v>219</v>
      </c>
    </row>
    <row r="20" spans="1:17" x14ac:dyDescent="0.3">
      <c r="A20" t="s">
        <v>254</v>
      </c>
      <c r="B20" t="s">
        <v>246</v>
      </c>
      <c r="C20">
        <f>6+18+19+39</f>
        <v>82</v>
      </c>
    </row>
    <row r="21" spans="1:17" x14ac:dyDescent="0.3">
      <c r="A21" t="s">
        <v>253</v>
      </c>
      <c r="B21" t="s">
        <v>247</v>
      </c>
      <c r="C21">
        <f>6+18+39</f>
        <v>63</v>
      </c>
    </row>
    <row r="22" spans="1:17" x14ac:dyDescent="0.3">
      <c r="A22" t="s">
        <v>235</v>
      </c>
      <c r="B22" t="s">
        <v>236</v>
      </c>
      <c r="C22">
        <f>6+53+16+57</f>
        <v>132</v>
      </c>
    </row>
    <row r="23" spans="1:17" x14ac:dyDescent="0.3">
      <c r="A23" t="s">
        <v>338</v>
      </c>
      <c r="B23" t="s">
        <v>339</v>
      </c>
      <c r="C23">
        <f>9+53+5+8+7+89+6+53</f>
        <v>230</v>
      </c>
      <c r="D23" t="s">
        <v>340</v>
      </c>
      <c r="E23">
        <f>9+53+5+8+11+6+6+53</f>
        <v>151</v>
      </c>
    </row>
    <row r="24" spans="1:17" x14ac:dyDescent="0.3">
      <c r="A24" s="5" t="s">
        <v>494</v>
      </c>
      <c r="B24" s="5" t="s">
        <v>495</v>
      </c>
      <c r="C24" s="5">
        <f>9+92+6+1+16</f>
        <v>124</v>
      </c>
    </row>
    <row r="25" spans="1:17" x14ac:dyDescent="0.3">
      <c r="A25" t="s">
        <v>233</v>
      </c>
      <c r="B25" t="s">
        <v>234</v>
      </c>
      <c r="C25">
        <f>9+92+7+19+58</f>
        <v>185</v>
      </c>
    </row>
    <row r="26" spans="1:17" x14ac:dyDescent="0.3">
      <c r="A26" t="s">
        <v>437</v>
      </c>
      <c r="B26" t="s">
        <v>433</v>
      </c>
      <c r="C26">
        <f>87+92+7+149+6+28</f>
        <v>369</v>
      </c>
      <c r="D26" t="s">
        <v>434</v>
      </c>
      <c r="E26">
        <f>87+92+7+19+6+7+53</f>
        <v>271</v>
      </c>
    </row>
    <row r="27" spans="1:17" x14ac:dyDescent="0.3">
      <c r="A27" t="s">
        <v>89</v>
      </c>
      <c r="B27" t="s">
        <v>90</v>
      </c>
      <c r="C27">
        <f>31+92+16+16</f>
        <v>155</v>
      </c>
    </row>
    <row r="28" spans="1:17" x14ac:dyDescent="0.3">
      <c r="A28" t="s">
        <v>230</v>
      </c>
      <c r="B28" t="s">
        <v>231</v>
      </c>
      <c r="C28">
        <f>1+18+42+28+6+19+39</f>
        <v>153</v>
      </c>
      <c r="D28" t="s">
        <v>232</v>
      </c>
      <c r="E28">
        <f>1+18+42+7+53+6+19+39</f>
        <v>185</v>
      </c>
    </row>
    <row r="29" spans="1:17" x14ac:dyDescent="0.3">
      <c r="A29" t="s">
        <v>106</v>
      </c>
      <c r="B29" t="s">
        <v>107</v>
      </c>
      <c r="C29">
        <f>1+68+8+7</f>
        <v>84</v>
      </c>
    </row>
    <row r="30" spans="1:17" x14ac:dyDescent="0.3">
      <c r="A30" t="s">
        <v>108</v>
      </c>
      <c r="B30" t="s">
        <v>109</v>
      </c>
      <c r="C30">
        <f>1+68+8+7+92+23</f>
        <v>199</v>
      </c>
    </row>
    <row r="31" spans="1:17" x14ac:dyDescent="0.3">
      <c r="A31" t="s">
        <v>284</v>
      </c>
      <c r="B31" t="s">
        <v>285</v>
      </c>
      <c r="C31">
        <f>1+88+11</f>
        <v>100</v>
      </c>
    </row>
    <row r="32" spans="1:17" x14ac:dyDescent="0.3">
      <c r="A32" t="s">
        <v>423</v>
      </c>
      <c r="B32" t="s">
        <v>424</v>
      </c>
      <c r="C32">
        <f>1+88+28+58</f>
        <v>175</v>
      </c>
      <c r="D32" t="s">
        <v>425</v>
      </c>
      <c r="E32">
        <f>1+88+7+53+58</f>
        <v>207</v>
      </c>
    </row>
    <row r="33" spans="1:9" x14ac:dyDescent="0.3">
      <c r="A33" t="s">
        <v>454</v>
      </c>
      <c r="B33" t="s">
        <v>455</v>
      </c>
      <c r="C33">
        <f>1+88+28+6+28</f>
        <v>151</v>
      </c>
      <c r="D33" t="s">
        <v>456</v>
      </c>
      <c r="E33">
        <f>1+88+7+53+6+7+53</f>
        <v>215</v>
      </c>
      <c r="F33" t="s">
        <v>457</v>
      </c>
      <c r="G33">
        <f>1+88+28+6+28</f>
        <v>151</v>
      </c>
      <c r="H33" t="s">
        <v>458</v>
      </c>
      <c r="I33">
        <f>1+88+7+53+6+7+53</f>
        <v>215</v>
      </c>
    </row>
    <row r="34" spans="1:9" x14ac:dyDescent="0.3">
      <c r="A34" t="s">
        <v>286</v>
      </c>
      <c r="B34" t="s">
        <v>283</v>
      </c>
      <c r="C34">
        <f>1+39+15+68+5+8+57</f>
        <v>193</v>
      </c>
    </row>
    <row r="35" spans="1:9" x14ac:dyDescent="0.3">
      <c r="A35" t="s">
        <v>287</v>
      </c>
      <c r="B35" t="s">
        <v>288</v>
      </c>
      <c r="C35">
        <f>1+39+15+68+5+8+3+6+19+39</f>
        <v>203</v>
      </c>
    </row>
    <row r="36" spans="1:9" x14ac:dyDescent="0.3">
      <c r="A36" t="s">
        <v>117</v>
      </c>
      <c r="B36" t="s">
        <v>118</v>
      </c>
      <c r="C36">
        <f>1+39+84+52+16+39</f>
        <v>231</v>
      </c>
      <c r="D36" t="s">
        <v>119</v>
      </c>
      <c r="E36">
        <f>1+39+15+8+52+16+39</f>
        <v>170</v>
      </c>
    </row>
    <row r="37" spans="1:9" x14ac:dyDescent="0.3">
      <c r="A37" t="s">
        <v>289</v>
      </c>
      <c r="B37" t="s">
        <v>291</v>
      </c>
      <c r="C37">
        <f>6+1+39+56</f>
        <v>102</v>
      </c>
    </row>
    <row r="38" spans="1:9" x14ac:dyDescent="0.3">
      <c r="A38" t="s">
        <v>290</v>
      </c>
      <c r="B38" t="s">
        <v>292</v>
      </c>
      <c r="C38">
        <f>6+1+39+5+39</f>
        <v>90</v>
      </c>
    </row>
    <row r="39" spans="1:9" x14ac:dyDescent="0.3">
      <c r="A39" t="s">
        <v>275</v>
      </c>
      <c r="B39" t="s">
        <v>276</v>
      </c>
      <c r="C39">
        <f>53+7+23+68+30+53</f>
        <v>234</v>
      </c>
      <c r="D39" t="s">
        <v>277</v>
      </c>
      <c r="E39">
        <f>49+23+68+30+53</f>
        <v>223</v>
      </c>
    </row>
    <row r="40" spans="1:9" x14ac:dyDescent="0.3">
      <c r="A40" t="s">
        <v>257</v>
      </c>
      <c r="B40" t="s">
        <v>259</v>
      </c>
      <c r="C40">
        <f>53+88+6+53+8+7+13+7+53</f>
        <v>288</v>
      </c>
      <c r="D40" t="s">
        <v>260</v>
      </c>
      <c r="E40">
        <f>53+88+6+53+8+7+13+28</f>
        <v>256</v>
      </c>
      <c r="F40" t="s">
        <v>263</v>
      </c>
      <c r="G40">
        <f>77+89+53+8+7+13+7+53</f>
        <v>307</v>
      </c>
      <c r="H40" t="s">
        <v>264</v>
      </c>
      <c r="I40">
        <f>77+89+53+8+7+13+28</f>
        <v>275</v>
      </c>
    </row>
    <row r="41" spans="1:9" x14ac:dyDescent="0.3">
      <c r="A41" t="s">
        <v>143</v>
      </c>
      <c r="B41" t="s">
        <v>146</v>
      </c>
      <c r="C41">
        <f>19+18+52+14+92+16</f>
        <v>211</v>
      </c>
      <c r="D41" t="s">
        <v>147</v>
      </c>
      <c r="E41">
        <f>19+89+52+16+53+92+16</f>
        <v>337</v>
      </c>
    </row>
    <row r="42" spans="1:9" x14ac:dyDescent="0.3">
      <c r="A42" t="s">
        <v>297</v>
      </c>
      <c r="B42" t="s">
        <v>298</v>
      </c>
      <c r="C42">
        <f>19+57+14+9+53+19+8+23+85</f>
        <v>287</v>
      </c>
      <c r="D42" t="s">
        <v>299</v>
      </c>
      <c r="E42">
        <f>19+57+16+53+9+53+19+8+23+85</f>
        <v>342</v>
      </c>
    </row>
    <row r="43" spans="1:9" x14ac:dyDescent="0.3">
      <c r="A43" t="s">
        <v>154</v>
      </c>
      <c r="B43" t="s">
        <v>155</v>
      </c>
      <c r="C43">
        <f>19+28+1+39</f>
        <v>87</v>
      </c>
      <c r="D43" t="s">
        <v>156</v>
      </c>
      <c r="E43">
        <f>19+7+53+1+39</f>
        <v>119</v>
      </c>
    </row>
    <row r="44" spans="1:9" x14ac:dyDescent="0.3">
      <c r="A44" t="s">
        <v>472</v>
      </c>
      <c r="B44" t="s">
        <v>476</v>
      </c>
      <c r="C44">
        <f>19+8+10+6+7+39</f>
        <v>89</v>
      </c>
    </row>
    <row r="45" spans="1:9" x14ac:dyDescent="0.3">
      <c r="A45" s="5" t="s">
        <v>504</v>
      </c>
      <c r="B45" s="5" t="s">
        <v>505</v>
      </c>
      <c r="C45" s="5">
        <f>19+8+7+16+73+7+73</f>
        <v>203</v>
      </c>
    </row>
    <row r="46" spans="1:9" x14ac:dyDescent="0.3">
      <c r="A46" t="s">
        <v>414</v>
      </c>
      <c r="B46" t="s">
        <v>415</v>
      </c>
      <c r="C46">
        <f>19+8+7+23+68+32+7+58</f>
        <v>222</v>
      </c>
    </row>
    <row r="47" spans="1:9" x14ac:dyDescent="0.3">
      <c r="A47" t="s">
        <v>300</v>
      </c>
      <c r="B47" t="s">
        <v>301</v>
      </c>
      <c r="C47">
        <f>19+8+75+57+58</f>
        <v>217</v>
      </c>
    </row>
    <row r="48" spans="1:9" x14ac:dyDescent="0.3">
      <c r="A48" t="s">
        <v>302</v>
      </c>
      <c r="B48" t="s">
        <v>304</v>
      </c>
      <c r="C48">
        <f>19+8+75+7</f>
        <v>109</v>
      </c>
    </row>
    <row r="49" spans="1:11" x14ac:dyDescent="0.3">
      <c r="A49" t="s">
        <v>303</v>
      </c>
      <c r="B49" t="s">
        <v>305</v>
      </c>
      <c r="C49">
        <f>19+8+75+7+39</f>
        <v>148</v>
      </c>
      <c r="D49" t="s">
        <v>306</v>
      </c>
      <c r="E49">
        <f>19+8+75+28</f>
        <v>130</v>
      </c>
    </row>
    <row r="50" spans="1:11" x14ac:dyDescent="0.3">
      <c r="A50" t="s">
        <v>199</v>
      </c>
      <c r="B50" t="s">
        <v>202</v>
      </c>
      <c r="C50">
        <f>19+8+14+7+92+16</f>
        <v>156</v>
      </c>
      <c r="D50" t="s">
        <v>204</v>
      </c>
      <c r="E50">
        <f>19+8+16+53+7+92+16</f>
        <v>211</v>
      </c>
      <c r="F50" t="s">
        <v>205</v>
      </c>
      <c r="G50">
        <f>19+76+53+7+92+16</f>
        <v>263</v>
      </c>
      <c r="H50" t="s">
        <v>206</v>
      </c>
      <c r="I50">
        <f>19+76+49+92+16</f>
        <v>252</v>
      </c>
      <c r="J50" t="s">
        <v>207</v>
      </c>
      <c r="K50">
        <f>19+8+16+49+92+16</f>
        <v>200</v>
      </c>
    </row>
    <row r="51" spans="1:11" x14ac:dyDescent="0.3">
      <c r="A51" t="s">
        <v>480</v>
      </c>
      <c r="B51" t="s">
        <v>223</v>
      </c>
      <c r="C51">
        <f>19+8+14+7+92+16+8+53+66</f>
        <v>283</v>
      </c>
      <c r="D51" t="s">
        <v>224</v>
      </c>
      <c r="E51">
        <f>19+8+16+53+7+92+16+8+53+66</f>
        <v>338</v>
      </c>
      <c r="F51" t="s">
        <v>225</v>
      </c>
      <c r="G51">
        <f>19+76+53+7+92+16+8+53+66</f>
        <v>390</v>
      </c>
      <c r="H51" t="s">
        <v>226</v>
      </c>
      <c r="I51">
        <f>19+76+49+92+16+8+53+66</f>
        <v>379</v>
      </c>
      <c r="J51" t="s">
        <v>227</v>
      </c>
      <c r="K51">
        <f>19+8+16+49+92+16+8+53+66</f>
        <v>327</v>
      </c>
    </row>
    <row r="52" spans="1:11" x14ac:dyDescent="0.3">
      <c r="A52" t="s">
        <v>228</v>
      </c>
      <c r="B52" t="s">
        <v>229</v>
      </c>
      <c r="C52">
        <f>19+8+73</f>
        <v>100</v>
      </c>
    </row>
    <row r="53" spans="1:11" x14ac:dyDescent="0.3">
      <c r="A53" t="s">
        <v>43</v>
      </c>
      <c r="B53" t="s">
        <v>44</v>
      </c>
      <c r="C53">
        <f>19+8+73+7+32+7+16</f>
        <v>162</v>
      </c>
    </row>
    <row r="54" spans="1:11" x14ac:dyDescent="0.3">
      <c r="A54" t="s">
        <v>137</v>
      </c>
      <c r="B54" t="s">
        <v>138</v>
      </c>
      <c r="C54">
        <f>19+8+73+7+32+7+73</f>
        <v>219</v>
      </c>
    </row>
    <row r="55" spans="1:11" x14ac:dyDescent="0.3">
      <c r="A55" t="s">
        <v>97</v>
      </c>
      <c r="B55" t="s">
        <v>98</v>
      </c>
      <c r="C55">
        <f>19+88+58+28</f>
        <v>193</v>
      </c>
      <c r="D55" t="s">
        <v>99</v>
      </c>
      <c r="E55">
        <f>19+88+58+7+53</f>
        <v>225</v>
      </c>
    </row>
    <row r="56" spans="1:11" x14ac:dyDescent="0.3">
      <c r="A56" t="s">
        <v>95</v>
      </c>
      <c r="B56" t="s">
        <v>96</v>
      </c>
      <c r="C56">
        <f>36+85</f>
        <v>121</v>
      </c>
    </row>
    <row r="57" spans="1:11" x14ac:dyDescent="0.3">
      <c r="A57" t="s">
        <v>131</v>
      </c>
      <c r="B57" t="s">
        <v>132</v>
      </c>
      <c r="C57">
        <f>19+44+1</f>
        <v>64</v>
      </c>
    </row>
    <row r="58" spans="1:11" x14ac:dyDescent="0.3">
      <c r="A58" t="s">
        <v>133</v>
      </c>
      <c r="B58" t="s">
        <v>134</v>
      </c>
      <c r="C58">
        <f>19+44+1+39</f>
        <v>103</v>
      </c>
    </row>
    <row r="59" spans="1:11" x14ac:dyDescent="0.3">
      <c r="A59" t="s">
        <v>148</v>
      </c>
      <c r="B59" t="s">
        <v>149</v>
      </c>
      <c r="C59">
        <f>19+44+30+53+58</f>
        <v>204</v>
      </c>
      <c r="D59" t="s">
        <v>150</v>
      </c>
      <c r="E59">
        <f>36+92+30+53+58</f>
        <v>269</v>
      </c>
    </row>
    <row r="60" spans="1:11" x14ac:dyDescent="0.3">
      <c r="A60" t="s">
        <v>307</v>
      </c>
      <c r="B60" t="s">
        <v>308</v>
      </c>
      <c r="C60">
        <f>36+396+1+3+6+19+39</f>
        <v>500</v>
      </c>
      <c r="D60" t="s">
        <v>309</v>
      </c>
      <c r="E60">
        <f>19+53+6+1+3+6+19+39</f>
        <v>146</v>
      </c>
      <c r="F60" t="s">
        <v>310</v>
      </c>
      <c r="G60">
        <f>36+396+1+3+6+19+53</f>
        <v>514</v>
      </c>
      <c r="H60" t="s">
        <v>311</v>
      </c>
      <c r="I60">
        <f>19+53+6+1+3+6+19+53</f>
        <v>160</v>
      </c>
    </row>
    <row r="61" spans="1:11" x14ac:dyDescent="0.3">
      <c r="A61" t="s">
        <v>318</v>
      </c>
      <c r="B61" t="s">
        <v>319</v>
      </c>
      <c r="C61">
        <f>36+53+23+8+20+88</f>
        <v>228</v>
      </c>
    </row>
    <row r="62" spans="1:11" x14ac:dyDescent="0.3">
      <c r="A62" t="s">
        <v>320</v>
      </c>
      <c r="B62" t="s">
        <v>321</v>
      </c>
      <c r="C62">
        <f>36+53+23+8+6+18+39</f>
        <v>183</v>
      </c>
      <c r="D62" t="s">
        <v>322</v>
      </c>
      <c r="E62">
        <f>36+53+23+8+6+18+53</f>
        <v>197</v>
      </c>
    </row>
    <row r="63" spans="1:11" x14ac:dyDescent="0.3">
      <c r="A63" t="s">
        <v>278</v>
      </c>
      <c r="B63" t="s">
        <v>279</v>
      </c>
      <c r="C63">
        <f>19+92+83+6+19+39</f>
        <v>258</v>
      </c>
      <c r="D63" t="s">
        <v>280</v>
      </c>
      <c r="E63">
        <f>19+92+5+53+6+19+39</f>
        <v>233</v>
      </c>
    </row>
    <row r="64" spans="1:11" x14ac:dyDescent="0.3">
      <c r="A64" t="s">
        <v>87</v>
      </c>
      <c r="B64" t="s">
        <v>88</v>
      </c>
      <c r="C64">
        <f>57+15+57+58</f>
        <v>187</v>
      </c>
    </row>
    <row r="65" spans="1:5" x14ac:dyDescent="0.3">
      <c r="A65" t="s">
        <v>312</v>
      </c>
      <c r="B65" t="s">
        <v>313</v>
      </c>
      <c r="C65">
        <f>3+6+1+8+4+30+53+19</f>
        <v>124</v>
      </c>
      <c r="D65" t="s">
        <v>314</v>
      </c>
      <c r="E65">
        <f>3+6+1+8+4+30+39+19</f>
        <v>110</v>
      </c>
    </row>
    <row r="66" spans="1:5" x14ac:dyDescent="0.3">
      <c r="A66" t="s">
        <v>315</v>
      </c>
      <c r="B66" t="s">
        <v>316</v>
      </c>
      <c r="C66">
        <f>3+6+1+8+4+30+53+19+39</f>
        <v>163</v>
      </c>
      <c r="D66" t="s">
        <v>317</v>
      </c>
      <c r="E66">
        <f>3+6+1+8+4+30+39+19+39</f>
        <v>149</v>
      </c>
    </row>
    <row r="67" spans="1:5" x14ac:dyDescent="0.3">
      <c r="A67" t="s">
        <v>266</v>
      </c>
      <c r="B67" t="s">
        <v>268</v>
      </c>
      <c r="C67">
        <f>3+6+1+39</f>
        <v>49</v>
      </c>
    </row>
    <row r="68" spans="1:5" x14ac:dyDescent="0.3">
      <c r="A68" t="s">
        <v>357</v>
      </c>
      <c r="B68" t="s">
        <v>358</v>
      </c>
      <c r="C68">
        <f>3+10+18+28</f>
        <v>59</v>
      </c>
      <c r="D68" t="s">
        <v>359</v>
      </c>
      <c r="E68">
        <f>3+10+18+7+53</f>
        <v>91</v>
      </c>
    </row>
    <row r="69" spans="1:5" x14ac:dyDescent="0.3">
      <c r="A69" t="s">
        <v>325</v>
      </c>
      <c r="B69" t="s">
        <v>326</v>
      </c>
      <c r="C69">
        <f>25+8+1+8+16+52+7</f>
        <v>117</v>
      </c>
    </row>
    <row r="70" spans="1:5" x14ac:dyDescent="0.3">
      <c r="A70" t="s">
        <v>327</v>
      </c>
      <c r="B70" t="s">
        <v>328</v>
      </c>
      <c r="C70">
        <f>25+8+1+8+16+52+7+39</f>
        <v>156</v>
      </c>
    </row>
    <row r="71" spans="1:5" x14ac:dyDescent="0.3">
      <c r="A71" t="s">
        <v>342</v>
      </c>
      <c r="B71" t="s">
        <v>343</v>
      </c>
      <c r="C71">
        <f>42+6+10+10+6</f>
        <v>74</v>
      </c>
    </row>
    <row r="72" spans="1:5" x14ac:dyDescent="0.3">
      <c r="A72" t="s">
        <v>179</v>
      </c>
      <c r="B72" t="s">
        <v>181</v>
      </c>
      <c r="C72">
        <f>42+6+7+53+11</f>
        <v>119</v>
      </c>
      <c r="D72" t="s">
        <v>182</v>
      </c>
      <c r="E72">
        <f>42+6+28+11</f>
        <v>87</v>
      </c>
    </row>
    <row r="73" spans="1:5" x14ac:dyDescent="0.3">
      <c r="A73" t="s">
        <v>180</v>
      </c>
      <c r="B73" t="s">
        <v>183</v>
      </c>
      <c r="C73">
        <f>42+6+7+53+7+39</f>
        <v>154</v>
      </c>
      <c r="D73" t="s">
        <v>184</v>
      </c>
      <c r="E73">
        <f>42+6+28+7+39</f>
        <v>122</v>
      </c>
    </row>
    <row r="74" spans="1:5" x14ac:dyDescent="0.3">
      <c r="A74" t="s">
        <v>500</v>
      </c>
      <c r="B74" t="s">
        <v>501</v>
      </c>
      <c r="C74">
        <f>42+6+102+16+22</f>
        <v>188</v>
      </c>
    </row>
    <row r="75" spans="1:5" x14ac:dyDescent="0.3">
      <c r="A75" t="s">
        <v>412</v>
      </c>
      <c r="B75" t="s">
        <v>413</v>
      </c>
      <c r="C75">
        <f>11+1+8+66</f>
        <v>86</v>
      </c>
    </row>
    <row r="76" spans="1:5" x14ac:dyDescent="0.3">
      <c r="A76" t="s">
        <v>362</v>
      </c>
      <c r="B76" t="s">
        <v>363</v>
      </c>
      <c r="C76">
        <f>11+15+53+68</f>
        <v>147</v>
      </c>
    </row>
    <row r="77" spans="1:5" x14ac:dyDescent="0.3">
      <c r="A77" t="s">
        <v>344</v>
      </c>
      <c r="B77" t="s">
        <v>345</v>
      </c>
      <c r="C77">
        <f>11+16+8+4+19</f>
        <v>58</v>
      </c>
      <c r="D77" t="s">
        <v>349</v>
      </c>
      <c r="E77">
        <f>7+33+8+4+19</f>
        <v>71</v>
      </c>
    </row>
    <row r="78" spans="1:5" x14ac:dyDescent="0.3">
      <c r="A78" t="s">
        <v>170</v>
      </c>
      <c r="B78" t="s">
        <v>171</v>
      </c>
      <c r="C78">
        <f>11+16+8+4+7+53</f>
        <v>99</v>
      </c>
      <c r="D78" t="s">
        <v>172</v>
      </c>
      <c r="E78">
        <f>11+16+8+4+28</f>
        <v>67</v>
      </c>
    </row>
    <row r="79" spans="1:5" x14ac:dyDescent="0.3">
      <c r="A79" t="s">
        <v>346</v>
      </c>
      <c r="B79" t="s">
        <v>347</v>
      </c>
      <c r="C79">
        <f>11+16+8+5+19+39</f>
        <v>98</v>
      </c>
      <c r="D79" t="s">
        <v>348</v>
      </c>
      <c r="E79">
        <f>7+33+8+5+19+39</f>
        <v>111</v>
      </c>
    </row>
    <row r="80" spans="1:5" x14ac:dyDescent="0.3">
      <c r="A80" t="s">
        <v>355</v>
      </c>
      <c r="B80" t="s">
        <v>356</v>
      </c>
      <c r="C80">
        <f>10+31+58</f>
        <v>99</v>
      </c>
    </row>
    <row r="81" spans="1:5" x14ac:dyDescent="0.3">
      <c r="A81" t="s">
        <v>125</v>
      </c>
      <c r="B81" t="s">
        <v>127</v>
      </c>
      <c r="C81">
        <f>10+19+8+10+6+7+8</f>
        <v>68</v>
      </c>
      <c r="D81" t="s">
        <v>128</v>
      </c>
      <c r="E81">
        <f>10+19+8+10+6+102</f>
        <v>155</v>
      </c>
    </row>
    <row r="82" spans="1:5" x14ac:dyDescent="0.3">
      <c r="A82" t="s">
        <v>126</v>
      </c>
      <c r="B82" t="s">
        <v>129</v>
      </c>
      <c r="C82">
        <f>10+19+8+10+6+7+39</f>
        <v>99</v>
      </c>
      <c r="D82" t="s">
        <v>130</v>
      </c>
      <c r="E82">
        <f>10+19+8+10+6+28</f>
        <v>81</v>
      </c>
    </row>
    <row r="83" spans="1:5" x14ac:dyDescent="0.3">
      <c r="A83" t="s">
        <v>82</v>
      </c>
      <c r="B83" t="s">
        <v>83</v>
      </c>
      <c r="C83">
        <f>10+15+57+22</f>
        <v>104</v>
      </c>
    </row>
    <row r="84" spans="1:5" x14ac:dyDescent="0.3">
      <c r="A84" t="s">
        <v>153</v>
      </c>
      <c r="B84" t="s">
        <v>151</v>
      </c>
      <c r="C84">
        <f>7+68+8+23+28+58</f>
        <v>192</v>
      </c>
      <c r="D84" t="s">
        <v>152</v>
      </c>
      <c r="E84">
        <f>7+68+8+23+7+53+58</f>
        <v>224</v>
      </c>
    </row>
    <row r="85" spans="1:5" x14ac:dyDescent="0.3">
      <c r="A85" t="s">
        <v>16</v>
      </c>
      <c r="B85" t="s">
        <v>20</v>
      </c>
      <c r="C85">
        <f>10+16+8+92+1+57+16+7+39</f>
        <v>246</v>
      </c>
      <c r="D85" t="s">
        <v>21</v>
      </c>
      <c r="E85">
        <f>10+16+8+92+1+57+50+39</f>
        <v>273</v>
      </c>
    </row>
    <row r="86" spans="1:5" x14ac:dyDescent="0.3">
      <c r="A86" t="s">
        <v>369</v>
      </c>
      <c r="B86" t="s">
        <v>370</v>
      </c>
      <c r="C86">
        <f>10+30+95+39</f>
        <v>174</v>
      </c>
    </row>
    <row r="87" spans="1:5" x14ac:dyDescent="0.3">
      <c r="A87" s="5" t="s">
        <v>483</v>
      </c>
      <c r="B87" s="5" t="s">
        <v>484</v>
      </c>
      <c r="C87" s="5">
        <f>7+22+58</f>
        <v>87</v>
      </c>
    </row>
    <row r="88" spans="1:5" ht="14.25" customHeight="1" x14ac:dyDescent="0.3">
      <c r="A88" t="s">
        <v>371</v>
      </c>
      <c r="B88" t="s">
        <v>372</v>
      </c>
      <c r="C88">
        <f>7+92+57</f>
        <v>156</v>
      </c>
    </row>
    <row r="89" spans="1:5" x14ac:dyDescent="0.3">
      <c r="A89" t="s">
        <v>466</v>
      </c>
      <c r="B89" t="s">
        <v>468</v>
      </c>
      <c r="C89">
        <f>8+4+6+11</f>
        <v>29</v>
      </c>
    </row>
    <row r="90" spans="1:5" x14ac:dyDescent="0.3">
      <c r="A90" t="s">
        <v>467</v>
      </c>
      <c r="B90" t="s">
        <v>469</v>
      </c>
      <c r="C90">
        <f>8+4+6+7+39</f>
        <v>64</v>
      </c>
    </row>
    <row r="91" spans="1:5" x14ac:dyDescent="0.3">
      <c r="A91" t="s">
        <v>375</v>
      </c>
      <c r="B91" t="s">
        <v>376</v>
      </c>
      <c r="C91">
        <f>8+5+57+16+22</f>
        <v>108</v>
      </c>
    </row>
    <row r="92" spans="1:5" x14ac:dyDescent="0.3">
      <c r="A92" t="s">
        <v>54</v>
      </c>
      <c r="B92" t="s">
        <v>56</v>
      </c>
      <c r="C92">
        <f>8+5+88+58+11</f>
        <v>170</v>
      </c>
    </row>
    <row r="93" spans="1:5" x14ac:dyDescent="0.3">
      <c r="A93" t="s">
        <v>53</v>
      </c>
      <c r="B93" t="s">
        <v>55</v>
      </c>
      <c r="C93">
        <f>8+5+88+58+28</f>
        <v>187</v>
      </c>
    </row>
    <row r="94" spans="1:5" x14ac:dyDescent="0.3">
      <c r="A94" t="s">
        <v>57</v>
      </c>
      <c r="B94" t="s">
        <v>58</v>
      </c>
      <c r="C94">
        <f>8+5+88+58+102</f>
        <v>261</v>
      </c>
      <c r="D94" t="s">
        <v>59</v>
      </c>
      <c r="E94">
        <f>8+5+88+58+7+8</f>
        <v>174</v>
      </c>
    </row>
    <row r="95" spans="1:5" x14ac:dyDescent="0.3">
      <c r="A95" t="s">
        <v>377</v>
      </c>
      <c r="B95" t="s">
        <v>378</v>
      </c>
      <c r="C95">
        <f>8+5+23+8+66</f>
        <v>110</v>
      </c>
    </row>
    <row r="96" spans="1:5" x14ac:dyDescent="0.3">
      <c r="A96" t="s">
        <v>196</v>
      </c>
      <c r="B96" t="s">
        <v>197</v>
      </c>
      <c r="C96">
        <f>8+1+28+16+19+8</f>
        <v>80</v>
      </c>
      <c r="D96" t="s">
        <v>198</v>
      </c>
      <c r="E96">
        <f>8+1+7+53+16+19+8</f>
        <v>112</v>
      </c>
    </row>
    <row r="97" spans="1:9" x14ac:dyDescent="0.3">
      <c r="A97" t="s">
        <v>417</v>
      </c>
      <c r="B97" t="s">
        <v>421</v>
      </c>
      <c r="C97">
        <f>8+1+88+7+53+58+11</f>
        <v>226</v>
      </c>
      <c r="D97" t="s">
        <v>422</v>
      </c>
      <c r="E97">
        <f>8+1+88+28+58+11</f>
        <v>194</v>
      </c>
    </row>
    <row r="98" spans="1:9" x14ac:dyDescent="0.3">
      <c r="A98" t="s">
        <v>416</v>
      </c>
      <c r="B98" t="s">
        <v>418</v>
      </c>
      <c r="C98">
        <f>8+1+88+7+53+58+7+39</f>
        <v>261</v>
      </c>
      <c r="D98" t="s">
        <v>419</v>
      </c>
      <c r="E98">
        <f>8+1+88+28+58+28</f>
        <v>211</v>
      </c>
      <c r="F98" t="s">
        <v>420</v>
      </c>
      <c r="G98">
        <f>8+1+88+28+58+7+39</f>
        <v>229</v>
      </c>
    </row>
    <row r="99" spans="1:9" x14ac:dyDescent="0.3">
      <c r="A99" t="s">
        <v>373</v>
      </c>
      <c r="B99" t="s">
        <v>374</v>
      </c>
      <c r="C99">
        <f>8+19+8+3</f>
        <v>38</v>
      </c>
    </row>
    <row r="100" spans="1:9" x14ac:dyDescent="0.3">
      <c r="A100" t="s">
        <v>272</v>
      </c>
      <c r="B100" t="s">
        <v>273</v>
      </c>
      <c r="C100">
        <f>8+91+6+10</f>
        <v>115</v>
      </c>
      <c r="D100" t="s">
        <v>274</v>
      </c>
      <c r="E100">
        <f>8+15+89+10</f>
        <v>122</v>
      </c>
      <c r="I100">
        <f>8+15+89+28</f>
        <v>140</v>
      </c>
    </row>
    <row r="101" spans="1:9" x14ac:dyDescent="0.3">
      <c r="A101" t="s">
        <v>31</v>
      </c>
      <c r="B101" t="s">
        <v>32</v>
      </c>
      <c r="C101">
        <f>8+91+6+7+39</f>
        <v>151</v>
      </c>
      <c r="D101" t="s">
        <v>269</v>
      </c>
      <c r="E101">
        <f>8+15+89+7+39</f>
        <v>158</v>
      </c>
      <c r="F101" t="s">
        <v>270</v>
      </c>
      <c r="G101">
        <f>8+91+6+28</f>
        <v>133</v>
      </c>
      <c r="H101" t="s">
        <v>271</v>
      </c>
      <c r="I101">
        <f>8+15+89+28</f>
        <v>140</v>
      </c>
    </row>
    <row r="102" spans="1:9" x14ac:dyDescent="0.3">
      <c r="A102" t="s">
        <v>69</v>
      </c>
      <c r="B102" t="s">
        <v>70</v>
      </c>
      <c r="C102">
        <f>8+62</f>
        <v>70</v>
      </c>
    </row>
    <row r="103" spans="1:9" x14ac:dyDescent="0.3">
      <c r="A103" s="5" t="s">
        <v>490</v>
      </c>
      <c r="B103" s="5" t="s">
        <v>491</v>
      </c>
      <c r="C103" s="5">
        <f>8+16+8+23+39</f>
        <v>94</v>
      </c>
    </row>
    <row r="104" spans="1:9" x14ac:dyDescent="0.3">
      <c r="A104" t="s">
        <v>122</v>
      </c>
      <c r="B104" t="s">
        <v>123</v>
      </c>
      <c r="C104">
        <f>76+39</f>
        <v>115</v>
      </c>
      <c r="D104" t="s">
        <v>124</v>
      </c>
      <c r="E104">
        <f>8+16+39</f>
        <v>63</v>
      </c>
    </row>
    <row r="105" spans="1:9" x14ac:dyDescent="0.3">
      <c r="A105" t="s">
        <v>382</v>
      </c>
      <c r="B105" t="s">
        <v>383</v>
      </c>
      <c r="C105">
        <f>15+18+5+8+57</f>
        <v>103</v>
      </c>
    </row>
    <row r="106" spans="1:9" x14ac:dyDescent="0.3">
      <c r="A106" t="s">
        <v>173</v>
      </c>
      <c r="B106" t="s">
        <v>174</v>
      </c>
      <c r="C106">
        <f>15+18+6+53+13+7+53</f>
        <v>165</v>
      </c>
      <c r="D106" t="s">
        <v>175</v>
      </c>
      <c r="E106">
        <f>15+18+6+53+13+28</f>
        <v>133</v>
      </c>
    </row>
    <row r="107" spans="1:9" x14ac:dyDescent="0.3">
      <c r="A107" t="s">
        <v>479</v>
      </c>
      <c r="B107" t="s">
        <v>91</v>
      </c>
      <c r="C107">
        <f>91+16+20+71+23</f>
        <v>221</v>
      </c>
      <c r="D107" t="s">
        <v>92</v>
      </c>
      <c r="E107">
        <f>15+33+20+71+23</f>
        <v>162</v>
      </c>
      <c r="F107" t="s">
        <v>93</v>
      </c>
      <c r="G107">
        <f>91+16+6+13+92+23</f>
        <v>241</v>
      </c>
      <c r="H107" t="s">
        <v>94</v>
      </c>
      <c r="I107">
        <f>15+33+6+13+92+23</f>
        <v>182</v>
      </c>
    </row>
    <row r="108" spans="1:9" x14ac:dyDescent="0.3">
      <c r="A108" t="s">
        <v>384</v>
      </c>
      <c r="B108" t="s">
        <v>385</v>
      </c>
      <c r="C108">
        <f>91+73</f>
        <v>164</v>
      </c>
    </row>
    <row r="109" spans="1:9" x14ac:dyDescent="0.3">
      <c r="A109" t="s">
        <v>281</v>
      </c>
      <c r="B109" t="s">
        <v>282</v>
      </c>
      <c r="C109">
        <f>15+68+53+8+66+6+19+39</f>
        <v>274</v>
      </c>
    </row>
    <row r="110" spans="1:9" x14ac:dyDescent="0.3">
      <c r="A110" t="s">
        <v>386</v>
      </c>
      <c r="B110" t="s">
        <v>387</v>
      </c>
      <c r="C110">
        <f>15+68+53+8+66</f>
        <v>210</v>
      </c>
    </row>
    <row r="111" spans="1:9" x14ac:dyDescent="0.3">
      <c r="A111" t="s">
        <v>498</v>
      </c>
      <c r="B111" t="s">
        <v>499</v>
      </c>
      <c r="C111">
        <f>15+53</f>
        <v>68</v>
      </c>
    </row>
    <row r="112" spans="1:9" x14ac:dyDescent="0.3">
      <c r="A112" t="s">
        <v>84</v>
      </c>
      <c r="B112" t="s">
        <v>86</v>
      </c>
      <c r="C112">
        <f>15+53+68+75+14+42+7+57+15+57+58</f>
        <v>461</v>
      </c>
      <c r="D112" t="s">
        <v>85</v>
      </c>
      <c r="E112">
        <f>15+53+68+75+16+53+42+7+57+15+57+58</f>
        <v>516</v>
      </c>
    </row>
    <row r="113" spans="1:9" x14ac:dyDescent="0.3">
      <c r="A113" t="s">
        <v>100</v>
      </c>
      <c r="B113" t="s">
        <v>101</v>
      </c>
      <c r="C113">
        <f>15+71+16</f>
        <v>102</v>
      </c>
    </row>
    <row r="114" spans="1:9" x14ac:dyDescent="0.3">
      <c r="A114" t="s">
        <v>388</v>
      </c>
      <c r="B114" t="s">
        <v>389</v>
      </c>
      <c r="C114">
        <f>15+71+16+39</f>
        <v>141</v>
      </c>
    </row>
    <row r="115" spans="1:9" x14ac:dyDescent="0.3">
      <c r="A115" t="s">
        <v>404</v>
      </c>
      <c r="B115" t="s">
        <v>405</v>
      </c>
      <c r="C115">
        <f>84+19+92+16</f>
        <v>211</v>
      </c>
      <c r="D115" t="s">
        <v>406</v>
      </c>
      <c r="E115">
        <f>15+8+19+92+16</f>
        <v>150</v>
      </c>
    </row>
    <row r="116" spans="1:9" x14ac:dyDescent="0.3">
      <c r="A116" t="s">
        <v>407</v>
      </c>
      <c r="B116" t="s">
        <v>408</v>
      </c>
      <c r="C116">
        <f>84+19+92+16+39</f>
        <v>250</v>
      </c>
      <c r="D116" t="s">
        <v>409</v>
      </c>
      <c r="E116">
        <f>15+8+19+92+16+39</f>
        <v>189</v>
      </c>
      <c r="F116" t="s">
        <v>410</v>
      </c>
      <c r="G116">
        <f>84+19+92+14</f>
        <v>209</v>
      </c>
      <c r="H116" t="s">
        <v>411</v>
      </c>
      <c r="I116">
        <f>15+8+19+92+14</f>
        <v>148</v>
      </c>
    </row>
    <row r="117" spans="1:9" x14ac:dyDescent="0.3">
      <c r="A117" t="s">
        <v>379</v>
      </c>
      <c r="B117" t="s">
        <v>380</v>
      </c>
      <c r="C117">
        <f>15+8+57+86+53</f>
        <v>219</v>
      </c>
      <c r="D117" t="s">
        <v>381</v>
      </c>
      <c r="E117">
        <f>84+57+86+53</f>
        <v>280</v>
      </c>
    </row>
    <row r="118" spans="1:9" x14ac:dyDescent="0.3">
      <c r="A118" t="s">
        <v>22</v>
      </c>
      <c r="B118" t="s">
        <v>24</v>
      </c>
      <c r="C118">
        <f>15+8+16+92+7</f>
        <v>138</v>
      </c>
      <c r="D118" t="s">
        <v>27</v>
      </c>
      <c r="E118">
        <f>84+16+92+7</f>
        <v>199</v>
      </c>
    </row>
    <row r="119" spans="1:9" x14ac:dyDescent="0.3">
      <c r="A119" t="s">
        <v>23</v>
      </c>
      <c r="B119" t="s">
        <v>25</v>
      </c>
      <c r="C119">
        <f>15+8+16+92+7+92+22</f>
        <v>252</v>
      </c>
      <c r="D119" t="s">
        <v>26</v>
      </c>
      <c r="E119">
        <f>84+16+92+7+92+22</f>
        <v>313</v>
      </c>
    </row>
    <row r="120" spans="1:9" x14ac:dyDescent="0.3">
      <c r="A120" t="s">
        <v>428</v>
      </c>
      <c r="B120" t="s">
        <v>429</v>
      </c>
      <c r="C120">
        <f>15+8+92+6+19+39</f>
        <v>179</v>
      </c>
      <c r="D120" t="s">
        <v>430</v>
      </c>
      <c r="E120">
        <f>84+92+6+19+39</f>
        <v>240</v>
      </c>
    </row>
    <row r="121" spans="1:9" x14ac:dyDescent="0.3">
      <c r="A121" t="s">
        <v>45</v>
      </c>
      <c r="B121" t="s">
        <v>46</v>
      </c>
      <c r="C121">
        <f>15+88+23+39</f>
        <v>165</v>
      </c>
    </row>
    <row r="122" spans="1:9" x14ac:dyDescent="0.3">
      <c r="A122" t="s">
        <v>431</v>
      </c>
      <c r="B122" t="s">
        <v>432</v>
      </c>
      <c r="C122">
        <f>59+53+7+6+53+15</f>
        <v>193</v>
      </c>
    </row>
    <row r="123" spans="1:9" x14ac:dyDescent="0.3">
      <c r="A123" t="s">
        <v>248</v>
      </c>
      <c r="B123" t="s">
        <v>249</v>
      </c>
      <c r="C123">
        <f>59+8+58+7+73</f>
        <v>205</v>
      </c>
    </row>
    <row r="124" spans="1:9" x14ac:dyDescent="0.3">
      <c r="A124" t="s">
        <v>161</v>
      </c>
      <c r="B124" t="s">
        <v>163</v>
      </c>
      <c r="C124">
        <f>15+44+4+1</f>
        <v>64</v>
      </c>
    </row>
    <row r="125" spans="1:9" x14ac:dyDescent="0.3">
      <c r="A125" t="s">
        <v>162</v>
      </c>
      <c r="B125" t="s">
        <v>164</v>
      </c>
      <c r="C125">
        <f>15+44+4+1+39</f>
        <v>103</v>
      </c>
    </row>
    <row r="126" spans="1:9" x14ac:dyDescent="0.3">
      <c r="A126" s="5" t="s">
        <v>487</v>
      </c>
      <c r="B126" s="5" t="s">
        <v>488</v>
      </c>
      <c r="C126" s="5">
        <f>15+44+7+53+19</f>
        <v>138</v>
      </c>
      <c r="D126" s="5" t="s">
        <v>489</v>
      </c>
      <c r="E126" s="5">
        <f>15+44+26+19</f>
        <v>104</v>
      </c>
    </row>
    <row r="127" spans="1:9" x14ac:dyDescent="0.3">
      <c r="A127" t="s">
        <v>63</v>
      </c>
      <c r="B127" t="s">
        <v>64</v>
      </c>
      <c r="C127">
        <f>59+92+34+6+53+19</f>
        <v>263</v>
      </c>
    </row>
    <row r="128" spans="1:9" x14ac:dyDescent="0.3">
      <c r="A128" t="s">
        <v>65</v>
      </c>
      <c r="B128" t="s">
        <v>66</v>
      </c>
      <c r="C128">
        <f>59+92+34+6+53+19+39</f>
        <v>302</v>
      </c>
    </row>
    <row r="129" spans="1:7" x14ac:dyDescent="0.3">
      <c r="A129" t="s">
        <v>67</v>
      </c>
      <c r="B129" t="s">
        <v>68</v>
      </c>
      <c r="C129">
        <f>59+92+34+19</f>
        <v>204</v>
      </c>
    </row>
    <row r="130" spans="1:7" x14ac:dyDescent="0.3">
      <c r="A130" s="5" t="s">
        <v>485</v>
      </c>
      <c r="B130" s="5" t="s">
        <v>486</v>
      </c>
      <c r="C130" s="5">
        <f>59+23+28</f>
        <v>110</v>
      </c>
    </row>
    <row r="131" spans="1:7" x14ac:dyDescent="0.3">
      <c r="A131" t="s">
        <v>440</v>
      </c>
      <c r="B131" t="s">
        <v>441</v>
      </c>
      <c r="C131">
        <f>59+23+8+6+53+16+57</f>
        <v>222</v>
      </c>
    </row>
    <row r="132" spans="1:7" x14ac:dyDescent="0.3">
      <c r="A132" t="s">
        <v>442</v>
      </c>
      <c r="B132" t="s">
        <v>443</v>
      </c>
      <c r="C132">
        <f>15+75+7+8+16</f>
        <v>121</v>
      </c>
      <c r="D132" t="s">
        <v>446</v>
      </c>
      <c r="E132">
        <f>15+75+102+16</f>
        <v>208</v>
      </c>
    </row>
    <row r="133" spans="1:7" x14ac:dyDescent="0.3">
      <c r="A133" t="s">
        <v>444</v>
      </c>
      <c r="B133" t="s">
        <v>445</v>
      </c>
      <c r="C133">
        <f>15+75+7+8+16+39</f>
        <v>160</v>
      </c>
      <c r="D133" t="s">
        <v>447</v>
      </c>
      <c r="E133">
        <f>15+75+102+16+39</f>
        <v>247</v>
      </c>
    </row>
    <row r="134" spans="1:7" x14ac:dyDescent="0.3">
      <c r="A134" t="s">
        <v>448</v>
      </c>
      <c r="B134" t="s">
        <v>450</v>
      </c>
      <c r="C134">
        <f>15+75+84+11</f>
        <v>185</v>
      </c>
      <c r="D134" t="s">
        <v>451</v>
      </c>
      <c r="E134">
        <f>15+75+15+8+11</f>
        <v>124</v>
      </c>
    </row>
    <row r="135" spans="1:7" x14ac:dyDescent="0.3">
      <c r="A135" t="s">
        <v>449</v>
      </c>
      <c r="B135" t="s">
        <v>452</v>
      </c>
      <c r="C135">
        <f>15+75+84+7+39</f>
        <v>220</v>
      </c>
      <c r="D135" t="s">
        <v>453</v>
      </c>
      <c r="E135">
        <f>15+75+15+8+7+39</f>
        <v>159</v>
      </c>
    </row>
    <row r="136" spans="1:7" x14ac:dyDescent="0.3">
      <c r="A136" t="s">
        <v>104</v>
      </c>
      <c r="B136" t="s">
        <v>105</v>
      </c>
      <c r="C136">
        <f>15+75+23+8+66</f>
        <v>187</v>
      </c>
    </row>
    <row r="137" spans="1:7" x14ac:dyDescent="0.3">
      <c r="A137" t="s">
        <v>102</v>
      </c>
      <c r="B137" t="s">
        <v>103</v>
      </c>
      <c r="C137">
        <f>59+53+5+3+30+39</f>
        <v>189</v>
      </c>
    </row>
    <row r="138" spans="1:7" x14ac:dyDescent="0.3">
      <c r="A138" t="s">
        <v>60</v>
      </c>
      <c r="B138" t="s">
        <v>61</v>
      </c>
      <c r="C138" t="s">
        <v>62</v>
      </c>
    </row>
    <row r="139" spans="1:7" x14ac:dyDescent="0.3">
      <c r="A139" t="s">
        <v>73</v>
      </c>
      <c r="B139" t="s">
        <v>74</v>
      </c>
      <c r="C139">
        <f>15+39+90+47+8+88+16</f>
        <v>303</v>
      </c>
    </row>
    <row r="140" spans="1:7" x14ac:dyDescent="0.3">
      <c r="A140" t="s">
        <v>258</v>
      </c>
      <c r="B140" t="s">
        <v>261</v>
      </c>
      <c r="C140">
        <f>88+6+53+8+7+13+7+53</f>
        <v>235</v>
      </c>
      <c r="D140" t="s">
        <v>262</v>
      </c>
      <c r="E140">
        <f>88+6+53+8+7+13+28</f>
        <v>203</v>
      </c>
      <c r="F140" t="s">
        <v>261</v>
      </c>
      <c r="G140">
        <f>88+6+53+8+7+13+7+53</f>
        <v>235</v>
      </c>
    </row>
    <row r="141" spans="1:7" x14ac:dyDescent="0.3">
      <c r="A141" t="s">
        <v>334</v>
      </c>
      <c r="B141" t="s">
        <v>335</v>
      </c>
      <c r="C141">
        <f>75+13+7+39</f>
        <v>134</v>
      </c>
      <c r="D141" t="s">
        <v>336</v>
      </c>
      <c r="E141">
        <f>75+13+7+39</f>
        <v>134</v>
      </c>
    </row>
    <row r="142" spans="1:7" x14ac:dyDescent="0.3">
      <c r="A142" t="s">
        <v>464</v>
      </c>
      <c r="B142" t="s">
        <v>465</v>
      </c>
      <c r="C142">
        <f>75+6+53+59+8+19+39</f>
        <v>259</v>
      </c>
    </row>
    <row r="143" spans="1:7" x14ac:dyDescent="0.3">
      <c r="A143" t="s">
        <v>459</v>
      </c>
      <c r="B143" t="s">
        <v>460</v>
      </c>
      <c r="C143">
        <f>75+19+22+9+53+19+89+28</f>
        <v>314</v>
      </c>
      <c r="D143" t="s">
        <v>461</v>
      </c>
      <c r="E143">
        <f>75+19+22+9+53+19+89+7+53</f>
        <v>346</v>
      </c>
    </row>
    <row r="144" spans="1:7" x14ac:dyDescent="0.3">
      <c r="A144" t="s">
        <v>438</v>
      </c>
      <c r="B144" t="s">
        <v>439</v>
      </c>
      <c r="C144">
        <f>75+19+92+75+7+58</f>
        <v>326</v>
      </c>
    </row>
    <row r="145" spans="1:9" x14ac:dyDescent="0.3">
      <c r="A145" t="s">
        <v>250</v>
      </c>
      <c r="B145" t="s">
        <v>251</v>
      </c>
      <c r="C145">
        <f>75+57+22+23+28</f>
        <v>205</v>
      </c>
      <c r="D145" t="s">
        <v>252</v>
      </c>
      <c r="E145">
        <f>75+57+22+23+7+53</f>
        <v>237</v>
      </c>
    </row>
    <row r="146" spans="1:9" x14ac:dyDescent="0.3">
      <c r="A146" t="s">
        <v>470</v>
      </c>
      <c r="B146" t="s">
        <v>471</v>
      </c>
      <c r="C146">
        <f>44+30+8+4+30+39</f>
        <v>155</v>
      </c>
    </row>
    <row r="147" spans="1:9" x14ac:dyDescent="0.3">
      <c r="A147" t="s">
        <v>245</v>
      </c>
      <c r="B147" t="s">
        <v>244</v>
      </c>
      <c r="C147">
        <f>88+66</f>
        <v>154</v>
      </c>
    </row>
    <row r="148" spans="1:9" x14ac:dyDescent="0.3">
      <c r="A148" t="s">
        <v>243</v>
      </c>
      <c r="B148" t="s">
        <v>244</v>
      </c>
      <c r="C148">
        <f>88+66</f>
        <v>154</v>
      </c>
    </row>
    <row r="149" spans="1:9" x14ac:dyDescent="0.3">
      <c r="A149" t="s">
        <v>71</v>
      </c>
      <c r="B149" t="s">
        <v>72</v>
      </c>
      <c r="C149">
        <f>75+34+28</f>
        <v>137</v>
      </c>
    </row>
    <row r="150" spans="1:9" x14ac:dyDescent="0.3">
      <c r="A150" t="s">
        <v>473</v>
      </c>
      <c r="B150" t="s">
        <v>474</v>
      </c>
      <c r="C150">
        <f>16+6+53+73+10+6</f>
        <v>164</v>
      </c>
      <c r="D150" t="s">
        <v>475</v>
      </c>
      <c r="E150">
        <f>21+53+73+10+6</f>
        <v>163</v>
      </c>
    </row>
    <row r="151" spans="1:9" x14ac:dyDescent="0.3">
      <c r="A151" t="s">
        <v>165</v>
      </c>
      <c r="B151" t="s">
        <v>166</v>
      </c>
      <c r="C151">
        <f>16+6+53+73+28</f>
        <v>176</v>
      </c>
      <c r="D151" t="s">
        <v>167</v>
      </c>
      <c r="E151">
        <f>16+6+53+73+7+53</f>
        <v>208</v>
      </c>
      <c r="F151" t="s">
        <v>168</v>
      </c>
      <c r="G151">
        <f>21+53+73+28</f>
        <v>175</v>
      </c>
      <c r="H151" t="s">
        <v>169</v>
      </c>
      <c r="I151">
        <f>21+53+73+7+53</f>
        <v>207</v>
      </c>
    </row>
    <row r="152" spans="1:9" x14ac:dyDescent="0.3">
      <c r="A152" s="5" t="s">
        <v>496</v>
      </c>
      <c r="B152" s="5" t="s">
        <v>497</v>
      </c>
      <c r="C152" s="5">
        <f>34+6+53+16+22</f>
        <v>131</v>
      </c>
    </row>
    <row r="153" spans="1:9" x14ac:dyDescent="0.3">
      <c r="A153" t="s">
        <v>350</v>
      </c>
      <c r="B153" t="s">
        <v>352</v>
      </c>
      <c r="C153">
        <f>34+6+11</f>
        <v>51</v>
      </c>
    </row>
    <row r="154" spans="1:9" x14ac:dyDescent="0.3">
      <c r="A154" t="s">
        <v>351</v>
      </c>
      <c r="B154" t="s">
        <v>353</v>
      </c>
      <c r="C154">
        <f>34+6+7+39</f>
        <v>86</v>
      </c>
      <c r="D154" t="s">
        <v>354</v>
      </c>
      <c r="E154">
        <f>34+6+28</f>
        <v>68</v>
      </c>
    </row>
    <row r="155" spans="1:9" x14ac:dyDescent="0.3">
      <c r="A155" t="s">
        <v>77</v>
      </c>
      <c r="B155" t="s">
        <v>78</v>
      </c>
      <c r="C155">
        <f>34+19+92+7+66</f>
        <v>218</v>
      </c>
    </row>
    <row r="156" spans="1:9" x14ac:dyDescent="0.3">
      <c r="A156" t="s">
        <v>426</v>
      </c>
      <c r="B156" t="s">
        <v>427</v>
      </c>
      <c r="C156">
        <f>16+1+8+88</f>
        <v>113</v>
      </c>
    </row>
    <row r="157" spans="1:9" x14ac:dyDescent="0.3">
      <c r="A157" s="5" t="s">
        <v>481</v>
      </c>
      <c r="B157" s="5" t="s">
        <v>482</v>
      </c>
      <c r="C157" s="5">
        <f>14+52</f>
        <v>66</v>
      </c>
    </row>
    <row r="158" spans="1:9" x14ac:dyDescent="0.3">
      <c r="A158" t="s">
        <v>185</v>
      </c>
      <c r="B158" t="s">
        <v>186</v>
      </c>
      <c r="C158">
        <f>14+57</f>
        <v>71</v>
      </c>
      <c r="D158" t="s">
        <v>187</v>
      </c>
      <c r="E158">
        <f>16+53+57</f>
        <v>126</v>
      </c>
    </row>
    <row r="159" spans="1:9" x14ac:dyDescent="0.3">
      <c r="A159" t="s">
        <v>2</v>
      </c>
      <c r="B159" t="s">
        <v>1</v>
      </c>
      <c r="C159">
        <f>16+53+7+92+16</f>
        <v>184</v>
      </c>
      <c r="D159" t="s">
        <v>0</v>
      </c>
      <c r="E159">
        <f>14+7+92+16</f>
        <v>129</v>
      </c>
    </row>
    <row r="160" spans="1:9" x14ac:dyDescent="0.3">
      <c r="A160" t="s">
        <v>9</v>
      </c>
      <c r="B160" t="s">
        <v>10</v>
      </c>
      <c r="C160">
        <f>16+53+7+92+16+8+53+66</f>
        <v>311</v>
      </c>
      <c r="D160" t="s">
        <v>11</v>
      </c>
      <c r="E160">
        <f>14+7+92+16+8+53+66</f>
        <v>256</v>
      </c>
    </row>
    <row r="161" spans="1:5" x14ac:dyDescent="0.3">
      <c r="A161" t="s">
        <v>188</v>
      </c>
      <c r="B161" t="s">
        <v>189</v>
      </c>
      <c r="C161">
        <f>16+19+13+18+7+53</f>
        <v>126</v>
      </c>
      <c r="D161" t="s">
        <v>190</v>
      </c>
      <c r="E161">
        <f>16+19+13+18+28</f>
        <v>94</v>
      </c>
    </row>
    <row r="162" spans="1:5" x14ac:dyDescent="0.3">
      <c r="A162" t="s">
        <v>12</v>
      </c>
      <c r="B162" t="s">
        <v>13</v>
      </c>
      <c r="C162">
        <f>62+68</f>
        <v>130</v>
      </c>
    </row>
    <row r="163" spans="1:5" x14ac:dyDescent="0.3">
      <c r="A163" t="s">
        <v>28</v>
      </c>
      <c r="B163" t="s">
        <v>29</v>
      </c>
      <c r="C163">
        <f>62+68+28+58</f>
        <v>216</v>
      </c>
      <c r="D163" t="s">
        <v>30</v>
      </c>
      <c r="E163">
        <f>62+68+7+53+58</f>
        <v>248</v>
      </c>
    </row>
    <row r="164" spans="1:5" x14ac:dyDescent="0.3">
      <c r="A164" t="s">
        <v>14</v>
      </c>
      <c r="B164" t="s">
        <v>15</v>
      </c>
      <c r="C164">
        <f>62+68+8+23+39</f>
        <v>200</v>
      </c>
    </row>
    <row r="165" spans="1:5" x14ac:dyDescent="0.3">
      <c r="A165" t="s">
        <v>191</v>
      </c>
      <c r="B165" t="s">
        <v>193</v>
      </c>
      <c r="C165">
        <f>16+8+92+6+53+7</f>
        <v>182</v>
      </c>
    </row>
    <row r="166" spans="1:5" x14ac:dyDescent="0.3">
      <c r="A166" t="s">
        <v>192</v>
      </c>
      <c r="B166" t="s">
        <v>194</v>
      </c>
      <c r="C166">
        <f>16+8+92+6+53+7+39</f>
        <v>221</v>
      </c>
      <c r="D166" t="s">
        <v>195</v>
      </c>
      <c r="E166">
        <f>16+8+92+6+53+28</f>
        <v>203</v>
      </c>
    </row>
    <row r="167" spans="1:5" x14ac:dyDescent="0.3">
      <c r="A167" t="s">
        <v>17</v>
      </c>
      <c r="B167" t="s">
        <v>18</v>
      </c>
      <c r="C167">
        <f>16+8+92+1+57+16+7+39</f>
        <v>236</v>
      </c>
      <c r="D167" t="s">
        <v>19</v>
      </c>
      <c r="E167">
        <f>16+8+92+1+57+50+39</f>
        <v>263</v>
      </c>
    </row>
    <row r="168" spans="1:5" x14ac:dyDescent="0.3">
      <c r="A168" t="s">
        <v>337</v>
      </c>
      <c r="B168" t="s">
        <v>341</v>
      </c>
      <c r="C168">
        <f>16+8+92+16+73+23+39</f>
        <v>267</v>
      </c>
    </row>
    <row r="169" spans="1:5" x14ac:dyDescent="0.3">
      <c r="A169" t="s">
        <v>240</v>
      </c>
      <c r="B169" t="s">
        <v>241</v>
      </c>
      <c r="C169">
        <f>16+84+86+39</f>
        <v>225</v>
      </c>
      <c r="D169" t="s">
        <v>242</v>
      </c>
      <c r="E169">
        <f>16+15+8+86+39</f>
        <v>164</v>
      </c>
    </row>
    <row r="170" spans="1:5" x14ac:dyDescent="0.3">
      <c r="A170" t="s">
        <v>293</v>
      </c>
      <c r="B170" t="s">
        <v>296</v>
      </c>
      <c r="C170">
        <f>16+73+22+16+22+6</f>
        <v>155</v>
      </c>
    </row>
    <row r="171" spans="1:5" x14ac:dyDescent="0.3">
      <c r="A171" t="s">
        <v>294</v>
      </c>
      <c r="B171" t="s">
        <v>295</v>
      </c>
      <c r="C171">
        <f>16+73+22+16+22+6+19+39</f>
        <v>213</v>
      </c>
    </row>
    <row r="172" spans="1:5" x14ac:dyDescent="0.3">
      <c r="A172" t="s">
        <v>33</v>
      </c>
      <c r="B172" t="s">
        <v>34</v>
      </c>
      <c r="C172">
        <f>16+52+11</f>
        <v>79</v>
      </c>
    </row>
    <row r="173" spans="1:5" x14ac:dyDescent="0.3">
      <c r="A173" t="s">
        <v>265</v>
      </c>
      <c r="B173" t="s">
        <v>267</v>
      </c>
      <c r="C173">
        <f>16+92+66</f>
        <v>174</v>
      </c>
    </row>
    <row r="174" spans="1:5" x14ac:dyDescent="0.3">
      <c r="A174" t="s">
        <v>38</v>
      </c>
      <c r="B174" t="s">
        <v>39</v>
      </c>
      <c r="C174">
        <f>73+7+32+7+16</f>
        <v>135</v>
      </c>
    </row>
    <row r="175" spans="1:5" x14ac:dyDescent="0.3">
      <c r="A175" t="s">
        <v>135</v>
      </c>
      <c r="B175" t="s">
        <v>136</v>
      </c>
      <c r="C175">
        <f>73+7+32+7+73</f>
        <v>192</v>
      </c>
    </row>
    <row r="176" spans="1:5" x14ac:dyDescent="0.3">
      <c r="A176" s="5" t="s">
        <v>502</v>
      </c>
      <c r="B176" s="5" t="s">
        <v>503</v>
      </c>
      <c r="C176" s="5">
        <f>73+92</f>
        <v>165</v>
      </c>
    </row>
    <row r="177" spans="1:5" x14ac:dyDescent="0.3">
      <c r="A177" t="s">
        <v>332</v>
      </c>
      <c r="B177" t="s">
        <v>333</v>
      </c>
      <c r="C177">
        <f>52+6+11</f>
        <v>69</v>
      </c>
    </row>
    <row r="178" spans="1:5" x14ac:dyDescent="0.3">
      <c r="A178" t="s">
        <v>329</v>
      </c>
      <c r="B178" t="s">
        <v>323</v>
      </c>
      <c r="C178">
        <f>52+6+7+8+23+39</f>
        <v>135</v>
      </c>
      <c r="D178" t="s">
        <v>324</v>
      </c>
      <c r="E178">
        <f>52+6+102+23+39</f>
        <v>222</v>
      </c>
    </row>
    <row r="179" spans="1:5" x14ac:dyDescent="0.3">
      <c r="A179" t="s">
        <v>159</v>
      </c>
      <c r="B179" t="s">
        <v>160</v>
      </c>
      <c r="C179">
        <f>52+6+7+39</f>
        <v>104</v>
      </c>
    </row>
    <row r="180" spans="1:5" x14ac:dyDescent="0.3">
      <c r="A180" t="s">
        <v>330</v>
      </c>
      <c r="B180" t="s">
        <v>331</v>
      </c>
      <c r="C180">
        <f>52+22+23+8+23+39</f>
        <v>167</v>
      </c>
    </row>
    <row r="181" spans="1:5" x14ac:dyDescent="0.3">
      <c r="A181" t="s">
        <v>157</v>
      </c>
      <c r="B181" t="s">
        <v>158</v>
      </c>
      <c r="C181">
        <f>52+22+23+39</f>
        <v>136</v>
      </c>
    </row>
    <row r="182" spans="1:5" x14ac:dyDescent="0.3">
      <c r="A182" s="5" t="s">
        <v>508</v>
      </c>
      <c r="B182" s="5" t="s">
        <v>509</v>
      </c>
      <c r="C182" s="5">
        <f>22+16+6</f>
        <v>44</v>
      </c>
    </row>
    <row r="183" spans="1:5" x14ac:dyDescent="0.3">
      <c r="A183" s="5" t="s">
        <v>510</v>
      </c>
      <c r="B183" s="5" t="s">
        <v>511</v>
      </c>
      <c r="C183" s="5">
        <f>22+14+58</f>
        <v>94</v>
      </c>
    </row>
    <row r="184" spans="1:5" x14ac:dyDescent="0.3">
      <c r="A184" t="s">
        <v>47</v>
      </c>
      <c r="B184" t="s">
        <v>48</v>
      </c>
      <c r="C184">
        <f>92+42+6+10+28</f>
        <v>178</v>
      </c>
      <c r="D184" t="s">
        <v>49</v>
      </c>
      <c r="E184">
        <f>92+42+6+10+7+53</f>
        <v>210</v>
      </c>
    </row>
    <row r="185" spans="1:5" x14ac:dyDescent="0.3">
      <c r="A185" s="5" t="s">
        <v>492</v>
      </c>
      <c r="B185" s="5" t="s">
        <v>493</v>
      </c>
      <c r="C185" s="5">
        <f>92+42+6+26+22</f>
        <v>188</v>
      </c>
    </row>
    <row r="186" spans="1:5" x14ac:dyDescent="0.3">
      <c r="A186" t="s">
        <v>79</v>
      </c>
      <c r="B186" t="s">
        <v>80</v>
      </c>
      <c r="C186">
        <f>92+28+6+53+73</f>
        <v>252</v>
      </c>
      <c r="D186" t="s">
        <v>81</v>
      </c>
      <c r="E186">
        <f>92+7+53+6+53+73</f>
        <v>284</v>
      </c>
    </row>
    <row r="187" spans="1:5" x14ac:dyDescent="0.3">
      <c r="A187" t="s">
        <v>390</v>
      </c>
      <c r="B187" t="s">
        <v>392</v>
      </c>
      <c r="C187">
        <f>92+34+6</f>
        <v>132</v>
      </c>
    </row>
    <row r="188" spans="1:5" x14ac:dyDescent="0.3">
      <c r="A188" t="s">
        <v>395</v>
      </c>
      <c r="B188" t="s">
        <v>393</v>
      </c>
      <c r="C188">
        <f>92+34+19</f>
        <v>145</v>
      </c>
    </row>
    <row r="189" spans="1:5" x14ac:dyDescent="0.3">
      <c r="A189" t="s">
        <v>462</v>
      </c>
      <c r="B189" t="s">
        <v>463</v>
      </c>
      <c r="C189">
        <f>92+34+19+8+23+39</f>
        <v>215</v>
      </c>
    </row>
    <row r="190" spans="1:5" x14ac:dyDescent="0.3">
      <c r="A190" t="s">
        <v>391</v>
      </c>
      <c r="B190" t="s">
        <v>394</v>
      </c>
      <c r="C190">
        <f>92+34+19+39</f>
        <v>184</v>
      </c>
    </row>
    <row r="191" spans="1:5" x14ac:dyDescent="0.3">
      <c r="A191" t="s">
        <v>50</v>
      </c>
      <c r="B191" t="s">
        <v>51</v>
      </c>
      <c r="C191">
        <f>23+18+53+89+7+53</f>
        <v>243</v>
      </c>
      <c r="D191" t="s">
        <v>52</v>
      </c>
      <c r="E191">
        <f>23+18+53+89+28</f>
        <v>211</v>
      </c>
    </row>
    <row r="192" spans="1:5" x14ac:dyDescent="0.3">
      <c r="A192" t="s">
        <v>75</v>
      </c>
      <c r="B192" t="s">
        <v>76</v>
      </c>
      <c r="C192">
        <f>23+39+19+8+7</f>
        <v>96</v>
      </c>
    </row>
    <row r="193" spans="1:5" x14ac:dyDescent="0.3">
      <c r="A193" t="s">
        <v>396</v>
      </c>
      <c r="B193" t="s">
        <v>399</v>
      </c>
      <c r="C193">
        <f>23+39+34+6</f>
        <v>102</v>
      </c>
    </row>
    <row r="194" spans="1:5" x14ac:dyDescent="0.3">
      <c r="A194" t="s">
        <v>400</v>
      </c>
      <c r="B194" t="s">
        <v>401</v>
      </c>
      <c r="C194">
        <f>23+39+34+58</f>
        <v>154</v>
      </c>
    </row>
    <row r="195" spans="1:5" x14ac:dyDescent="0.3">
      <c r="A195" t="s">
        <v>397</v>
      </c>
      <c r="B195" t="s">
        <v>402</v>
      </c>
      <c r="C195">
        <f>23+39+34+19</f>
        <v>115</v>
      </c>
    </row>
    <row r="196" spans="1:5" x14ac:dyDescent="0.3">
      <c r="A196" t="s">
        <v>398</v>
      </c>
      <c r="B196" t="s">
        <v>403</v>
      </c>
      <c r="C196">
        <f>23+39+34+19+39</f>
        <v>154</v>
      </c>
    </row>
    <row r="197" spans="1:5" x14ac:dyDescent="0.3">
      <c r="A197" t="s">
        <v>435</v>
      </c>
      <c r="B197" t="s">
        <v>436</v>
      </c>
      <c r="C197">
        <f>23+39+16+19+39</f>
        <v>136</v>
      </c>
    </row>
    <row r="198" spans="1:5" x14ac:dyDescent="0.3">
      <c r="A198" t="s">
        <v>114</v>
      </c>
      <c r="B198" t="s">
        <v>115</v>
      </c>
      <c r="C198">
        <f>23+39+23+88+58+7+53</f>
        <v>291</v>
      </c>
      <c r="D198" t="s">
        <v>116</v>
      </c>
      <c r="E198">
        <f>23+39+23+88+58+28</f>
        <v>259</v>
      </c>
    </row>
    <row r="199" spans="1:5" x14ac:dyDescent="0.3">
      <c r="A199" t="s">
        <v>110</v>
      </c>
      <c r="B199" t="s">
        <v>112</v>
      </c>
      <c r="C199">
        <f>23+39+30+95</f>
        <v>187</v>
      </c>
    </row>
    <row r="200" spans="1:5" x14ac:dyDescent="0.3">
      <c r="A200" t="s">
        <v>111</v>
      </c>
      <c r="B200" t="s">
        <v>113</v>
      </c>
      <c r="C200">
        <f>23+39+30+95+39</f>
        <v>226</v>
      </c>
    </row>
    <row r="201" spans="1:5" x14ac:dyDescent="0.3">
      <c r="A201" t="s">
        <v>176</v>
      </c>
      <c r="B201" t="s">
        <v>177</v>
      </c>
      <c r="C201">
        <f>30+13+8+16+22</f>
        <v>89</v>
      </c>
      <c r="D201" t="s">
        <v>178</v>
      </c>
      <c r="E201">
        <f>30+13+76+22</f>
        <v>141</v>
      </c>
    </row>
  </sheetData>
  <sortState ref="A1:Q219">
    <sortCondition ref="A21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B8" sqref="B8"/>
    </sheetView>
  </sheetViews>
  <sheetFormatPr defaultRowHeight="14.4" x14ac:dyDescent="0.3"/>
  <sheetData>
    <row r="3" spans="1:1" x14ac:dyDescent="0.3">
      <c r="A3" t="s">
        <v>8</v>
      </c>
    </row>
    <row r="4" spans="1:1" x14ac:dyDescent="0.3">
      <c r="A4" t="s">
        <v>7</v>
      </c>
    </row>
    <row r="6" spans="1:1" x14ac:dyDescent="0.3">
      <c r="A6" t="s">
        <v>654</v>
      </c>
    </row>
    <row r="7" spans="1:1" x14ac:dyDescent="0.3">
      <c r="A7" t="s">
        <v>655</v>
      </c>
    </row>
    <row r="8" spans="1:1" x14ac:dyDescent="0.3">
      <c r="A8" t="s">
        <v>656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4"/>
  <sheetViews>
    <sheetView tabSelected="1" workbookViewId="0">
      <selection activeCell="G30" sqref="G30"/>
    </sheetView>
  </sheetViews>
  <sheetFormatPr defaultRowHeight="14.4" x14ac:dyDescent="0.3"/>
  <cols>
    <col min="1" max="9" width="10.5546875" customWidth="1"/>
  </cols>
  <sheetData>
    <row r="4" spans="1:8" x14ac:dyDescent="0.3">
      <c r="A4" s="8" t="s">
        <v>512</v>
      </c>
      <c r="B4" s="10" t="s">
        <v>637</v>
      </c>
      <c r="C4" s="10" t="s">
        <v>541</v>
      </c>
      <c r="D4" s="10" t="s">
        <v>638</v>
      </c>
      <c r="E4" s="10" t="s">
        <v>539</v>
      </c>
      <c r="F4" s="10" t="s">
        <v>536</v>
      </c>
      <c r="G4" s="10" t="s">
        <v>540</v>
      </c>
      <c r="H4" s="10" t="s">
        <v>537</v>
      </c>
    </row>
    <row r="5" spans="1:8" x14ac:dyDescent="0.3">
      <c r="A5" s="8" t="s">
        <v>512</v>
      </c>
      <c r="B5" s="10" t="s">
        <v>538</v>
      </c>
      <c r="C5" s="10"/>
      <c r="D5" s="10"/>
      <c r="E5" s="10"/>
      <c r="F5" s="10"/>
      <c r="G5" s="10"/>
      <c r="H5" s="10"/>
    </row>
    <row r="6" spans="1:8" x14ac:dyDescent="0.3">
      <c r="A6" s="12" t="s">
        <v>513</v>
      </c>
      <c r="B6" s="13" t="s">
        <v>545</v>
      </c>
      <c r="C6" s="13" t="s">
        <v>546</v>
      </c>
      <c r="D6" s="13" t="s">
        <v>544</v>
      </c>
      <c r="E6" s="13" t="s">
        <v>644</v>
      </c>
      <c r="F6" s="13" t="s">
        <v>543</v>
      </c>
      <c r="G6" s="13" t="s">
        <v>547</v>
      </c>
      <c r="H6" s="13" t="s">
        <v>542</v>
      </c>
    </row>
    <row r="7" spans="1:8" x14ac:dyDescent="0.3">
      <c r="A7" s="8" t="s">
        <v>514</v>
      </c>
      <c r="B7" s="10" t="s">
        <v>548</v>
      </c>
      <c r="C7" s="10" t="s">
        <v>550</v>
      </c>
      <c r="D7" s="10" t="s">
        <v>554</v>
      </c>
      <c r="E7" s="10" t="s">
        <v>556</v>
      </c>
      <c r="F7" s="10" t="s">
        <v>636</v>
      </c>
      <c r="G7" s="10" t="s">
        <v>549</v>
      </c>
      <c r="H7" s="10" t="s">
        <v>635</v>
      </c>
    </row>
    <row r="8" spans="1:8" x14ac:dyDescent="0.3">
      <c r="A8" s="8" t="s">
        <v>514</v>
      </c>
      <c r="B8" s="10" t="s">
        <v>645</v>
      </c>
      <c r="C8" s="10" t="s">
        <v>552</v>
      </c>
      <c r="D8" s="10" t="s">
        <v>551</v>
      </c>
      <c r="E8" s="10" t="s">
        <v>555</v>
      </c>
      <c r="F8" s="10" t="s">
        <v>553</v>
      </c>
      <c r="G8" s="10"/>
      <c r="H8" s="10"/>
    </row>
    <row r="9" spans="1:8" x14ac:dyDescent="0.3">
      <c r="A9" s="9" t="s">
        <v>515</v>
      </c>
      <c r="B9" s="11" t="s">
        <v>643</v>
      </c>
      <c r="C9" s="11" t="s">
        <v>646</v>
      </c>
      <c r="D9" s="11" t="s">
        <v>557</v>
      </c>
      <c r="E9" s="11"/>
      <c r="F9" s="11"/>
      <c r="G9" s="11"/>
      <c r="H9" s="11"/>
    </row>
    <row r="10" spans="1:8" x14ac:dyDescent="0.3">
      <c r="A10" s="8" t="s">
        <v>516</v>
      </c>
      <c r="B10" s="10" t="s">
        <v>558</v>
      </c>
      <c r="C10" s="10" t="s">
        <v>559</v>
      </c>
      <c r="D10" s="10" t="s">
        <v>560</v>
      </c>
      <c r="E10" s="10"/>
      <c r="F10" s="10"/>
      <c r="G10" s="10"/>
      <c r="H10" s="10"/>
    </row>
    <row r="11" spans="1:8" x14ac:dyDescent="0.3">
      <c r="A11" s="9" t="s">
        <v>517</v>
      </c>
      <c r="B11" s="11" t="s">
        <v>563</v>
      </c>
      <c r="C11" s="11" t="s">
        <v>562</v>
      </c>
      <c r="D11" s="11" t="s">
        <v>649</v>
      </c>
      <c r="E11" s="11" t="s">
        <v>564</v>
      </c>
      <c r="F11" s="11" t="s">
        <v>561</v>
      </c>
      <c r="G11" s="11"/>
      <c r="H11" s="11"/>
    </row>
    <row r="12" spans="1:8" x14ac:dyDescent="0.3">
      <c r="A12" s="8" t="s">
        <v>518</v>
      </c>
      <c r="B12" s="10" t="s">
        <v>565</v>
      </c>
      <c r="C12" s="10" t="s">
        <v>567</v>
      </c>
      <c r="D12" s="10" t="s">
        <v>566</v>
      </c>
      <c r="E12" s="10"/>
      <c r="F12" s="10"/>
      <c r="G12" s="10"/>
      <c r="H12" s="10"/>
    </row>
    <row r="13" spans="1:8" x14ac:dyDescent="0.3">
      <c r="A13" s="9" t="s">
        <v>519</v>
      </c>
      <c r="B13" s="11" t="s">
        <v>568</v>
      </c>
      <c r="C13" s="11" t="s">
        <v>571</v>
      </c>
      <c r="D13" s="11" t="s">
        <v>569</v>
      </c>
      <c r="E13" s="11" t="s">
        <v>570</v>
      </c>
      <c r="F13" s="11" t="s">
        <v>572</v>
      </c>
      <c r="G13" s="11" t="s">
        <v>641</v>
      </c>
      <c r="H13" s="11"/>
    </row>
    <row r="14" spans="1:8" x14ac:dyDescent="0.3">
      <c r="A14" s="8" t="s">
        <v>520</v>
      </c>
      <c r="B14" s="10" t="s">
        <v>575</v>
      </c>
      <c r="C14" s="10" t="s">
        <v>574</v>
      </c>
      <c r="D14" s="10" t="s">
        <v>573</v>
      </c>
      <c r="E14" s="10"/>
      <c r="F14" s="10"/>
      <c r="G14" s="10"/>
      <c r="H14" s="10"/>
    </row>
    <row r="15" spans="1:8" x14ac:dyDescent="0.3">
      <c r="A15" s="9" t="s">
        <v>521</v>
      </c>
      <c r="B15" s="11" t="s">
        <v>580</v>
      </c>
      <c r="C15" s="11" t="s">
        <v>581</v>
      </c>
      <c r="D15" s="11"/>
      <c r="E15" s="11"/>
      <c r="F15" s="11"/>
      <c r="G15" s="11"/>
      <c r="H15" s="11"/>
    </row>
    <row r="16" spans="1:8" x14ac:dyDescent="0.3">
      <c r="A16" s="8" t="s">
        <v>522</v>
      </c>
      <c r="B16" s="10" t="s">
        <v>577</v>
      </c>
      <c r="C16" s="10" t="s">
        <v>576</v>
      </c>
      <c r="D16" s="10" t="s">
        <v>579</v>
      </c>
      <c r="E16" s="10" t="s">
        <v>578</v>
      </c>
      <c r="F16" s="10" t="s">
        <v>651</v>
      </c>
      <c r="G16" s="10"/>
      <c r="H16" s="10"/>
    </row>
    <row r="17" spans="1:10" x14ac:dyDescent="0.3">
      <c r="A17" s="9" t="s">
        <v>523</v>
      </c>
      <c r="B17" s="11" t="s">
        <v>585</v>
      </c>
      <c r="C17" s="11" t="s">
        <v>582</v>
      </c>
      <c r="D17" s="11" t="s">
        <v>584</v>
      </c>
      <c r="E17" s="11" t="s">
        <v>583</v>
      </c>
      <c r="F17" s="11" t="s">
        <v>639</v>
      </c>
      <c r="G17" s="11"/>
      <c r="H17" s="11"/>
    </row>
    <row r="18" spans="1:10" x14ac:dyDescent="0.3">
      <c r="A18" s="8" t="s">
        <v>524</v>
      </c>
      <c r="B18" s="10" t="s">
        <v>589</v>
      </c>
      <c r="C18" s="10" t="s">
        <v>586</v>
      </c>
      <c r="D18" s="10" t="s">
        <v>587</v>
      </c>
      <c r="E18" s="10" t="s">
        <v>592</v>
      </c>
      <c r="F18" s="10" t="s">
        <v>593</v>
      </c>
      <c r="G18" s="10" t="s">
        <v>588</v>
      </c>
      <c r="H18" s="10" t="s">
        <v>590</v>
      </c>
      <c r="J18" s="7"/>
    </row>
    <row r="19" spans="1:10" x14ac:dyDescent="0.3">
      <c r="A19" s="8" t="s">
        <v>524</v>
      </c>
      <c r="B19" s="10" t="s">
        <v>591</v>
      </c>
      <c r="C19" s="10"/>
      <c r="D19" s="10"/>
      <c r="E19" s="10"/>
      <c r="F19" s="10"/>
      <c r="G19" s="10"/>
      <c r="H19" s="10"/>
      <c r="J19" s="7"/>
    </row>
    <row r="20" spans="1:10" x14ac:dyDescent="0.3">
      <c r="A20" s="12" t="s">
        <v>525</v>
      </c>
      <c r="B20" s="13" t="s">
        <v>594</v>
      </c>
      <c r="C20" s="13" t="s">
        <v>595</v>
      </c>
      <c r="D20" s="13"/>
      <c r="E20" s="13"/>
      <c r="F20" s="13"/>
      <c r="G20" s="13"/>
      <c r="H20" s="13"/>
    </row>
    <row r="21" spans="1:10" x14ac:dyDescent="0.3">
      <c r="A21" s="8" t="s">
        <v>526</v>
      </c>
      <c r="B21" s="10" t="s">
        <v>599</v>
      </c>
      <c r="C21" s="10" t="s">
        <v>604</v>
      </c>
      <c r="D21" s="10" t="s">
        <v>598</v>
      </c>
      <c r="E21" s="10" t="s">
        <v>596</v>
      </c>
      <c r="F21" s="10" t="s">
        <v>602</v>
      </c>
      <c r="G21" s="10" t="s">
        <v>600</v>
      </c>
      <c r="H21" s="10" t="s">
        <v>601</v>
      </c>
    </row>
    <row r="22" spans="1:10" x14ac:dyDescent="0.3">
      <c r="A22" s="8" t="s">
        <v>526</v>
      </c>
      <c r="B22" s="10" t="s">
        <v>597</v>
      </c>
      <c r="C22" s="10" t="s">
        <v>603</v>
      </c>
      <c r="D22" s="10"/>
      <c r="E22" s="10"/>
      <c r="F22" s="10"/>
      <c r="G22" s="10"/>
      <c r="H22" s="10"/>
    </row>
    <row r="23" spans="1:10" x14ac:dyDescent="0.3">
      <c r="A23" s="9" t="s">
        <v>527</v>
      </c>
      <c r="B23" s="11" t="s">
        <v>609</v>
      </c>
      <c r="C23" s="11" t="s">
        <v>610</v>
      </c>
      <c r="D23" s="11" t="s">
        <v>605</v>
      </c>
      <c r="E23" s="11" t="s">
        <v>642</v>
      </c>
      <c r="F23" s="11" t="s">
        <v>647</v>
      </c>
      <c r="G23" s="11" t="s">
        <v>607</v>
      </c>
      <c r="H23" s="11" t="s">
        <v>608</v>
      </c>
    </row>
    <row r="24" spans="1:10" x14ac:dyDescent="0.3">
      <c r="A24" s="12" t="s">
        <v>527</v>
      </c>
      <c r="B24" s="13" t="s">
        <v>606</v>
      </c>
      <c r="C24" s="13"/>
      <c r="D24" s="13"/>
      <c r="E24" s="13"/>
      <c r="F24" s="13"/>
      <c r="G24" s="13"/>
      <c r="H24" s="13"/>
    </row>
    <row r="25" spans="1:10" x14ac:dyDescent="0.3">
      <c r="A25" s="8" t="s">
        <v>528</v>
      </c>
      <c r="B25" s="10" t="s">
        <v>614</v>
      </c>
      <c r="C25" s="10" t="s">
        <v>616</v>
      </c>
      <c r="D25" s="10" t="s">
        <v>612</v>
      </c>
      <c r="E25" s="10" t="s">
        <v>617</v>
      </c>
      <c r="F25" s="10" t="s">
        <v>640</v>
      </c>
      <c r="G25" s="10" t="s">
        <v>613</v>
      </c>
      <c r="H25" s="10" t="s">
        <v>618</v>
      </c>
    </row>
    <row r="26" spans="1:10" x14ac:dyDescent="0.3">
      <c r="A26" s="8" t="s">
        <v>528</v>
      </c>
      <c r="B26" s="10" t="s">
        <v>615</v>
      </c>
      <c r="C26" s="10" t="s">
        <v>611</v>
      </c>
      <c r="D26" s="10"/>
      <c r="E26" s="10"/>
      <c r="F26" s="10"/>
      <c r="G26" s="10"/>
      <c r="H26" s="10"/>
    </row>
    <row r="27" spans="1:10" x14ac:dyDescent="0.3">
      <c r="A27" s="9" t="s">
        <v>529</v>
      </c>
      <c r="B27" s="11" t="s">
        <v>620</v>
      </c>
      <c r="C27" s="11" t="s">
        <v>624</v>
      </c>
      <c r="D27" s="11" t="s">
        <v>621</v>
      </c>
      <c r="E27" s="11" t="s">
        <v>623</v>
      </c>
      <c r="F27" s="11" t="s">
        <v>626</v>
      </c>
      <c r="G27" s="11" t="s">
        <v>619</v>
      </c>
      <c r="H27" s="11" t="s">
        <v>622</v>
      </c>
    </row>
    <row r="28" spans="1:10" x14ac:dyDescent="0.3">
      <c r="A28" s="12" t="s">
        <v>529</v>
      </c>
      <c r="B28" s="13" t="s">
        <v>625</v>
      </c>
      <c r="C28" s="13"/>
      <c r="D28" s="13"/>
      <c r="E28" s="13"/>
      <c r="F28" s="13"/>
      <c r="G28" s="13"/>
      <c r="H28" s="13"/>
    </row>
    <row r="29" spans="1:10" x14ac:dyDescent="0.3">
      <c r="A29" s="8" t="s">
        <v>530</v>
      </c>
      <c r="B29" s="10" t="s">
        <v>627</v>
      </c>
      <c r="C29" s="10" t="s">
        <v>653</v>
      </c>
      <c r="D29" s="10" t="s">
        <v>650</v>
      </c>
      <c r="E29" s="10" t="s">
        <v>652</v>
      </c>
      <c r="F29" s="10" t="s">
        <v>648</v>
      </c>
      <c r="G29" s="10"/>
      <c r="H29" s="10"/>
      <c r="J29" s="6"/>
    </row>
    <row r="30" spans="1:10" x14ac:dyDescent="0.3">
      <c r="A30" s="12" t="s">
        <v>531</v>
      </c>
      <c r="B30" s="13" t="s">
        <v>628</v>
      </c>
      <c r="C30" s="13"/>
      <c r="D30" s="13"/>
      <c r="E30" s="13"/>
      <c r="F30" s="13"/>
      <c r="G30" s="13"/>
      <c r="H30" s="13"/>
    </row>
    <row r="31" spans="1:10" x14ac:dyDescent="0.3">
      <c r="A31" s="8" t="s">
        <v>532</v>
      </c>
      <c r="B31" s="10" t="s">
        <v>629</v>
      </c>
      <c r="C31" s="10"/>
      <c r="D31" s="10"/>
      <c r="E31" s="10"/>
      <c r="F31" s="10"/>
      <c r="G31" s="10"/>
      <c r="H31" s="10"/>
    </row>
    <row r="32" spans="1:10" x14ac:dyDescent="0.3">
      <c r="A32" s="12" t="s">
        <v>533</v>
      </c>
      <c r="B32" s="13" t="s">
        <v>630</v>
      </c>
      <c r="C32" s="13"/>
      <c r="D32" s="13"/>
      <c r="E32" s="13"/>
      <c r="F32" s="13"/>
      <c r="G32" s="13"/>
      <c r="H32" s="13"/>
    </row>
    <row r="33" spans="1:8" x14ac:dyDescent="0.3">
      <c r="A33" s="8" t="s">
        <v>534</v>
      </c>
      <c r="B33" s="10" t="s">
        <v>631</v>
      </c>
      <c r="C33" s="10" t="s">
        <v>632</v>
      </c>
      <c r="D33" s="10"/>
      <c r="E33" s="10"/>
      <c r="F33" s="10"/>
      <c r="G33" s="10"/>
      <c r="H33" s="10"/>
    </row>
    <row r="34" spans="1:8" x14ac:dyDescent="0.3">
      <c r="A34" s="12" t="s">
        <v>535</v>
      </c>
      <c r="B34" s="13" t="s">
        <v>634</v>
      </c>
      <c r="C34" s="13" t="s">
        <v>633</v>
      </c>
      <c r="D34" s="13"/>
      <c r="E34" s="13"/>
      <c r="F34" s="13"/>
      <c r="G34" s="13"/>
      <c r="H34" s="13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Matematika </vt:lpstr>
      <vt:lpstr>Instrukce</vt:lpstr>
      <vt:lpstr>Prvky dle abecedy</vt:lpstr>
    </vt:vector>
  </TitlesOfParts>
  <Company>NUV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Pecinová Drahomíra</dc:creator>
  <cp:lastModifiedBy>Pecinová Drahomíra</cp:lastModifiedBy>
  <cp:lastPrinted>2015-09-04T10:47:12Z</cp:lastPrinted>
  <dcterms:created xsi:type="dcterms:W3CDTF">2015-07-29T06:46:55Z</dcterms:created>
  <dcterms:modified xsi:type="dcterms:W3CDTF">2015-09-04T11:31:40Z</dcterms:modified>
</cp:coreProperties>
</file>